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00" yWindow="0" windowWidth="25125" windowHeight="13740" tabRatio="500"/>
  </bookViews>
  <sheets>
    <sheet name="calcs" sheetId="2" r:id="rId1"/>
    <sheet name="parameters" sheetId="1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8" i="2" l="1"/>
  <c r="AD8" i="2"/>
  <c r="S8" i="2"/>
  <c r="AE8" i="2" s="1"/>
  <c r="T8" i="2"/>
  <c r="AF8" i="2"/>
  <c r="U8" i="2"/>
  <c r="AG8" i="2" s="1"/>
  <c r="V8" i="2"/>
  <c r="AH8" i="2"/>
  <c r="W8" i="2"/>
  <c r="AI8" i="2" s="1"/>
  <c r="X8" i="2"/>
  <c r="AJ8" i="2"/>
  <c r="Y8" i="2"/>
  <c r="AK8" i="2" s="1"/>
  <c r="Z8" i="2"/>
  <c r="AL8" i="2"/>
  <c r="AA8" i="2"/>
  <c r="AM8" i="2" s="1"/>
  <c r="R7" i="2"/>
  <c r="AD7" i="2" s="1"/>
  <c r="S7" i="2"/>
  <c r="AE7" i="2" s="1"/>
  <c r="T7" i="2"/>
  <c r="AF7" i="2" s="1"/>
  <c r="U7" i="2"/>
  <c r="AG7" i="2" s="1"/>
  <c r="V7" i="2"/>
  <c r="AH7" i="2" s="1"/>
  <c r="W7" i="2"/>
  <c r="AI7" i="2" s="1"/>
  <c r="X7" i="2"/>
  <c r="AJ7" i="2" s="1"/>
  <c r="Y7" i="2"/>
  <c r="AK7" i="2" s="1"/>
  <c r="Z7" i="2"/>
  <c r="AL7" i="2" s="1"/>
  <c r="AA7" i="2"/>
  <c r="AM7" i="2" s="1"/>
  <c r="R6" i="2"/>
  <c r="AD6" i="2"/>
  <c r="AN6" i="2" s="1"/>
  <c r="S6" i="2"/>
  <c r="AE6" i="2"/>
  <c r="T6" i="2"/>
  <c r="AF6" i="2"/>
  <c r="U6" i="2"/>
  <c r="AG6" i="2"/>
  <c r="V6" i="2"/>
  <c r="AH6" i="2"/>
  <c r="AS6" i="2" s="1"/>
  <c r="BD6" i="2" s="1"/>
  <c r="ED6" i="2" s="1"/>
  <c r="W6" i="2"/>
  <c r="AI6" i="2"/>
  <c r="X6" i="2"/>
  <c r="AJ6" i="2"/>
  <c r="AU6" i="2" s="1"/>
  <c r="BF6" i="2" s="1"/>
  <c r="Y6" i="2"/>
  <c r="AK6" i="2"/>
  <c r="Z6" i="2"/>
  <c r="AL6" i="2"/>
  <c r="AW6" i="2" s="1"/>
  <c r="BH6" i="2" s="1"/>
  <c r="AA6" i="2"/>
  <c r="AM6" i="2"/>
  <c r="R5" i="2"/>
  <c r="AD5" i="2" s="1"/>
  <c r="S5" i="2"/>
  <c r="AE5" i="2" s="1"/>
  <c r="T5" i="2"/>
  <c r="AF5" i="2" s="1"/>
  <c r="U5" i="2"/>
  <c r="AG5" i="2" s="1"/>
  <c r="V5" i="2"/>
  <c r="AH5" i="2" s="1"/>
  <c r="W5" i="2"/>
  <c r="AI5" i="2" s="1"/>
  <c r="X5" i="2"/>
  <c r="AJ5" i="2" s="1"/>
  <c r="Y5" i="2"/>
  <c r="AK5" i="2" s="1"/>
  <c r="Z5" i="2"/>
  <c r="AL5" i="2" s="1"/>
  <c r="AA5" i="2"/>
  <c r="AM5" i="2" s="1"/>
  <c r="R9" i="2"/>
  <c r="AD9" i="2"/>
  <c r="AN9" i="2" s="1"/>
  <c r="S9" i="2"/>
  <c r="AE9" i="2"/>
  <c r="AP9" i="2" s="1"/>
  <c r="BA9" i="2" s="1"/>
  <c r="T9" i="2"/>
  <c r="AF9" i="2"/>
  <c r="U9" i="2"/>
  <c r="AG9" i="2"/>
  <c r="AR9" i="2" s="1"/>
  <c r="V9" i="2"/>
  <c r="AH9" i="2"/>
  <c r="AS9" i="2" s="1"/>
  <c r="W9" i="2"/>
  <c r="AI9" i="2"/>
  <c r="AT9" i="2" s="1"/>
  <c r="BE9" i="2" s="1"/>
  <c r="X9" i="2"/>
  <c r="AJ9" i="2"/>
  <c r="AU9" i="2" s="1"/>
  <c r="Y9" i="2"/>
  <c r="AK9" i="2"/>
  <c r="AV9" i="2" s="1"/>
  <c r="Z9" i="2"/>
  <c r="AL9" i="2"/>
  <c r="AW9" i="2" s="1"/>
  <c r="AA9" i="2"/>
  <c r="AM9" i="2"/>
  <c r="BC9" i="2"/>
  <c r="BD9" i="2"/>
  <c r="ED9" i="2" s="1"/>
  <c r="BF9" i="2"/>
  <c r="BG9" i="2"/>
  <c r="BH9" i="2"/>
  <c r="AX9" i="2"/>
  <c r="BI9" i="2" s="1"/>
  <c r="CG9" i="2" s="1"/>
  <c r="AB8" i="2"/>
  <c r="AC8" i="2"/>
  <c r="AB9" i="2"/>
  <c r="BJ9" i="2" s="1"/>
  <c r="AC9" i="2"/>
  <c r="BK9" i="2" s="1"/>
  <c r="CC9" i="2"/>
  <c r="AB7" i="2"/>
  <c r="AC7" i="2"/>
  <c r="AB6" i="2"/>
  <c r="BJ6" i="2"/>
  <c r="BL6" i="2" s="1"/>
  <c r="AC6" i="2"/>
  <c r="BK6" i="2"/>
  <c r="CC6" i="2"/>
  <c r="AB5" i="2"/>
  <c r="AC5" i="2"/>
  <c r="P5" i="2"/>
  <c r="R1" i="2"/>
  <c r="AN7" i="2" l="1"/>
  <c r="AW7" i="2" s="1"/>
  <c r="BH7" i="2" s="1"/>
  <c r="BL9" i="2"/>
  <c r="AO6" i="2"/>
  <c r="AX6" i="2"/>
  <c r="BI6" i="2" s="1"/>
  <c r="CG6" i="2" s="1"/>
  <c r="AQ6" i="2"/>
  <c r="BB6" i="2" s="1"/>
  <c r="AN5" i="2"/>
  <c r="AP5" i="2" s="1"/>
  <c r="BA5" i="2" s="1"/>
  <c r="AU7" i="2"/>
  <c r="BF7" i="2" s="1"/>
  <c r="CC7" i="2" s="1"/>
  <c r="AW8" i="2"/>
  <c r="BH8" i="2" s="1"/>
  <c r="AN8" i="2"/>
  <c r="AO9" i="2"/>
  <c r="AQ9" i="2"/>
  <c r="BB9" i="2" s="1"/>
  <c r="AV6" i="2"/>
  <c r="BG6" i="2" s="1"/>
  <c r="AT6" i="2"/>
  <c r="BE6" i="2" s="1"/>
  <c r="AR6" i="2"/>
  <c r="BC6" i="2" s="1"/>
  <c r="AP6" i="2"/>
  <c r="BA6" i="2" s="1"/>
  <c r="AT7" i="2"/>
  <c r="BE7" i="2" s="1"/>
  <c r="AT8" i="2"/>
  <c r="BE8" i="2" s="1"/>
  <c r="AR5" i="2" l="1"/>
  <c r="BC5" i="2" s="1"/>
  <c r="AO8" i="2"/>
  <c r="BJ8" i="2"/>
  <c r="AW5" i="2"/>
  <c r="BH5" i="2" s="1"/>
  <c r="AR7" i="2"/>
  <c r="BC7" i="2" s="1"/>
  <c r="AZ6" i="2"/>
  <c r="AY6" i="2"/>
  <c r="AS8" i="2"/>
  <c r="BD8" i="2" s="1"/>
  <c r="AS7" i="2"/>
  <c r="BD7" i="2" s="1"/>
  <c r="AP7" i="2"/>
  <c r="BA7" i="2" s="1"/>
  <c r="AV5" i="2"/>
  <c r="BG5" i="2" s="1"/>
  <c r="AR8" i="2"/>
  <c r="BC8" i="2" s="1"/>
  <c r="AO5" i="2"/>
  <c r="AP8" i="2"/>
  <c r="BA8" i="2" s="1"/>
  <c r="AV7" i="2"/>
  <c r="BG7" i="2" s="1"/>
  <c r="AV8" i="2"/>
  <c r="BG8" i="2" s="1"/>
  <c r="BK5" i="2"/>
  <c r="BJ5" i="2"/>
  <c r="BL5" i="2" s="1"/>
  <c r="AU8" i="2"/>
  <c r="BF8" i="2" s="1"/>
  <c r="CC8" i="2" s="1"/>
  <c r="AT5" i="2"/>
  <c r="BE5" i="2" s="1"/>
  <c r="BK8" i="2"/>
  <c r="BJ7" i="2"/>
  <c r="BL7" i="2" s="1"/>
  <c r="BK7" i="2"/>
  <c r="AQ5" i="2"/>
  <c r="BB5" i="2" s="1"/>
  <c r="AQ8" i="2"/>
  <c r="BB8" i="2" s="1"/>
  <c r="AX7" i="2"/>
  <c r="BI7" i="2" s="1"/>
  <c r="CG7" i="2" s="1"/>
  <c r="AZ9" i="2"/>
  <c r="AY9" i="2"/>
  <c r="AQ7" i="2"/>
  <c r="BB7" i="2" s="1"/>
  <c r="AS5" i="2"/>
  <c r="BD5" i="2" s="1"/>
  <c r="AX8" i="2"/>
  <c r="BI8" i="2" s="1"/>
  <c r="CG8" i="2" s="1"/>
  <c r="AX5" i="2"/>
  <c r="BI5" i="2" s="1"/>
  <c r="CG5" i="2" s="1"/>
  <c r="AO7" i="2"/>
  <c r="AU5" i="2"/>
  <c r="BF5" i="2" s="1"/>
  <c r="CC5" i="2" s="1"/>
  <c r="AZ8" i="2" l="1"/>
  <c r="AY8" i="2"/>
  <c r="ED7" i="2"/>
  <c r="EB9" i="2"/>
  <c r="CJ9" i="2"/>
  <c r="CN9" i="2" s="1"/>
  <c r="CL9" i="2"/>
  <c r="EA9" i="2"/>
  <c r="CK9" i="2"/>
  <c r="EC9" i="2"/>
  <c r="BN9" i="2"/>
  <c r="BM9" i="2"/>
  <c r="ED8" i="2"/>
  <c r="AZ7" i="2"/>
  <c r="AY7" i="2"/>
  <c r="EB6" i="2"/>
  <c r="CJ6" i="2"/>
  <c r="CN6" i="2" s="1"/>
  <c r="CL6" i="2"/>
  <c r="EA6" i="2"/>
  <c r="EF6" i="2" s="1"/>
  <c r="EC6" i="2"/>
  <c r="CK6" i="2"/>
  <c r="BM6" i="2"/>
  <c r="BN6" i="2"/>
  <c r="AZ5" i="2"/>
  <c r="AY5" i="2"/>
  <c r="ED5" i="2"/>
  <c r="BL8" i="2"/>
  <c r="CO9" i="2" l="1"/>
  <c r="CP9" i="2"/>
  <c r="CS9" i="2"/>
  <c r="CY9" i="2"/>
  <c r="DX9" i="2" s="1"/>
  <c r="DA9" i="2"/>
  <c r="CW9" i="2"/>
  <c r="CU9" i="2"/>
  <c r="DT9" i="2" s="1"/>
  <c r="CT9" i="2"/>
  <c r="CR9" i="2"/>
  <c r="CV9" i="2"/>
  <c r="CZ9" i="2"/>
  <c r="CX9" i="2"/>
  <c r="CQ9" i="2"/>
  <c r="CK5" i="2"/>
  <c r="EB5" i="2"/>
  <c r="CJ5" i="2"/>
  <c r="CN5" i="2" s="1"/>
  <c r="CL5" i="2"/>
  <c r="EA5" i="2"/>
  <c r="EF5" i="2" s="1"/>
  <c r="EC5" i="2"/>
  <c r="BN5" i="2"/>
  <c r="BM5" i="2"/>
  <c r="CW6" i="2"/>
  <c r="CU6" i="2"/>
  <c r="DT6" i="2" s="1"/>
  <c r="CZ6" i="2"/>
  <c r="CT6" i="2"/>
  <c r="CR6" i="2"/>
  <c r="CV6" i="2"/>
  <c r="CP6" i="2"/>
  <c r="CY6" i="2"/>
  <c r="DX6" i="2" s="1"/>
  <c r="CS6" i="2"/>
  <c r="DA6" i="2"/>
  <c r="CQ6" i="2"/>
  <c r="CX6" i="2"/>
  <c r="CO6" i="2"/>
  <c r="BO6" i="2"/>
  <c r="FV6" i="2"/>
  <c r="EI6" i="2"/>
  <c r="EN6" i="2"/>
  <c r="EH6" i="2"/>
  <c r="EO6" i="2"/>
  <c r="EM6" i="2"/>
  <c r="FL6" i="2" s="1"/>
  <c r="EG6" i="2"/>
  <c r="EK6" i="2"/>
  <c r="ES6" i="2"/>
  <c r="EQ6" i="2"/>
  <c r="EL6" i="2"/>
  <c r="EP6" i="2"/>
  <c r="FP6" i="2" s="1"/>
  <c r="ER6" i="2"/>
  <c r="EJ6" i="2"/>
  <c r="EF9" i="2"/>
  <c r="EB8" i="2"/>
  <c r="CJ8" i="2"/>
  <c r="CL8" i="2"/>
  <c r="EA8" i="2"/>
  <c r="EC8" i="2"/>
  <c r="CK8" i="2"/>
  <c r="BN8" i="2"/>
  <c r="BM8" i="2"/>
  <c r="EA7" i="2"/>
  <c r="EF7" i="2" s="1"/>
  <c r="EC7" i="2"/>
  <c r="CK7" i="2"/>
  <c r="EB7" i="2"/>
  <c r="CJ7" i="2"/>
  <c r="CN7" i="2" s="1"/>
  <c r="CL7" i="2"/>
  <c r="BN7" i="2"/>
  <c r="BM7" i="2"/>
  <c r="BO9" i="2"/>
  <c r="CW7" i="2" l="1"/>
  <c r="CU7" i="2"/>
  <c r="DT7" i="2" s="1"/>
  <c r="CZ7" i="2"/>
  <c r="CP7" i="2"/>
  <c r="CY7" i="2"/>
  <c r="DX7" i="2" s="1"/>
  <c r="CT7" i="2"/>
  <c r="CR7" i="2"/>
  <c r="CV7" i="2"/>
  <c r="DA7" i="2"/>
  <c r="CQ7" i="2"/>
  <c r="CX7" i="2"/>
  <c r="CO7" i="2"/>
  <c r="CS7" i="2"/>
  <c r="BO5" i="2"/>
  <c r="CQ5" i="2"/>
  <c r="CX5" i="2"/>
  <c r="CP5" i="2"/>
  <c r="CS5" i="2"/>
  <c r="CY5" i="2"/>
  <c r="DX5" i="2" s="1"/>
  <c r="CO5" i="2"/>
  <c r="DA5" i="2"/>
  <c r="CW5" i="2"/>
  <c r="CU5" i="2"/>
  <c r="DT5" i="2" s="1"/>
  <c r="CZ5" i="2"/>
  <c r="CR5" i="2"/>
  <c r="CV5" i="2"/>
  <c r="CT5" i="2"/>
  <c r="EF8" i="2"/>
  <c r="FV9" i="2"/>
  <c r="EJ9" i="2"/>
  <c r="EM9" i="2"/>
  <c r="FL9" i="2" s="1"/>
  <c r="EQ9" i="2"/>
  <c r="EI9" i="2"/>
  <c r="EN9" i="2"/>
  <c r="EG9" i="2"/>
  <c r="EH9" i="2"/>
  <c r="EK9" i="2"/>
  <c r="EO9" i="2"/>
  <c r="ES9" i="2"/>
  <c r="EP9" i="2"/>
  <c r="FP9" i="2" s="1"/>
  <c r="ER9" i="2"/>
  <c r="EL9" i="2"/>
  <c r="ET6" i="2"/>
  <c r="EU6" i="2" s="1"/>
  <c r="EW6" i="2"/>
  <c r="BP6" i="2"/>
  <c r="BQ6" i="2" s="1"/>
  <c r="BR6" i="2"/>
  <c r="BO7" i="2"/>
  <c r="BO8" i="2"/>
  <c r="DE6" i="2"/>
  <c r="DB6" i="2"/>
  <c r="DC6" i="2" s="1"/>
  <c r="FV5" i="2"/>
  <c r="EL5" i="2"/>
  <c r="EP5" i="2"/>
  <c r="FP5" i="2" s="1"/>
  <c r="ER5" i="2"/>
  <c r="EM5" i="2"/>
  <c r="FL5" i="2" s="1"/>
  <c r="EQ5" i="2"/>
  <c r="EK5" i="2"/>
  <c r="EJ5" i="2"/>
  <c r="EH5" i="2"/>
  <c r="EO5" i="2"/>
  <c r="EI5" i="2"/>
  <c r="EN5" i="2"/>
  <c r="EG5" i="2"/>
  <c r="ES5" i="2"/>
  <c r="FV7" i="2"/>
  <c r="EI7" i="2"/>
  <c r="EN7" i="2"/>
  <c r="EQ7" i="2"/>
  <c r="EG7" i="2"/>
  <c r="EH7" i="2"/>
  <c r="EK7" i="2"/>
  <c r="EO7" i="2"/>
  <c r="ES7" i="2"/>
  <c r="EL7" i="2"/>
  <c r="EP7" i="2"/>
  <c r="FP7" i="2" s="1"/>
  <c r="ER7" i="2"/>
  <c r="EJ7" i="2"/>
  <c r="EM7" i="2"/>
  <c r="FL7" i="2" s="1"/>
  <c r="BP9" i="2"/>
  <c r="BQ9" i="2" s="1"/>
  <c r="BR9" i="2"/>
  <c r="CN8" i="2"/>
  <c r="FW6" i="2"/>
  <c r="FX6" i="2"/>
  <c r="GA6" i="2"/>
  <c r="GE6" i="2"/>
  <c r="GC6" i="2"/>
  <c r="HB6" i="2" s="1"/>
  <c r="GB6" i="2"/>
  <c r="FZ6" i="2"/>
  <c r="GD6" i="2"/>
  <c r="GF6" i="2"/>
  <c r="HF6" i="2" s="1"/>
  <c r="FY6" i="2"/>
  <c r="GI6" i="2"/>
  <c r="GH6" i="2"/>
  <c r="GG6" i="2"/>
  <c r="DB9" i="2"/>
  <c r="DC9" i="2" s="1"/>
  <c r="DE9" i="2"/>
  <c r="DF9" i="2" l="1"/>
  <c r="GM6" i="2"/>
  <c r="GJ6" i="2"/>
  <c r="GK6" i="2" s="1"/>
  <c r="GT6" i="2" s="1"/>
  <c r="ET9" i="2"/>
  <c r="EU9" i="2" s="1"/>
  <c r="EW9" i="2"/>
  <c r="DB5" i="2"/>
  <c r="DC5" i="2" s="1"/>
  <c r="DE5" i="2"/>
  <c r="DL9" i="2"/>
  <c r="DD9" i="2"/>
  <c r="DL6" i="2"/>
  <c r="DD6" i="2"/>
  <c r="BP8" i="2"/>
  <c r="BR8" i="2"/>
  <c r="BS6" i="2"/>
  <c r="BP5" i="2"/>
  <c r="BQ5" i="2" s="1"/>
  <c r="BR5" i="2"/>
  <c r="CO8" i="2"/>
  <c r="CP8" i="2"/>
  <c r="CS8" i="2"/>
  <c r="CY8" i="2"/>
  <c r="DX8" i="2" s="1"/>
  <c r="DA8" i="2"/>
  <c r="CW8" i="2"/>
  <c r="CU8" i="2"/>
  <c r="DT8" i="2" s="1"/>
  <c r="CZ8" i="2"/>
  <c r="CT8" i="2"/>
  <c r="CR8" i="2"/>
  <c r="CV8" i="2"/>
  <c r="CX8" i="2"/>
  <c r="CQ8" i="2"/>
  <c r="ET7" i="2"/>
  <c r="EU7" i="2" s="1"/>
  <c r="EW7" i="2"/>
  <c r="GE7" i="2"/>
  <c r="GC7" i="2"/>
  <c r="HB7" i="2" s="1"/>
  <c r="GB7" i="2"/>
  <c r="FZ7" i="2"/>
  <c r="GD7" i="2"/>
  <c r="GF7" i="2"/>
  <c r="HF7" i="2" s="1"/>
  <c r="FY7" i="2"/>
  <c r="FW7" i="2"/>
  <c r="FX7" i="2"/>
  <c r="GA7" i="2"/>
  <c r="GI7" i="2"/>
  <c r="GG7" i="2"/>
  <c r="GH7" i="2"/>
  <c r="EW5" i="2"/>
  <c r="ET5" i="2"/>
  <c r="EU5" i="2" s="1"/>
  <c r="GF5" i="2"/>
  <c r="HF5" i="2" s="1"/>
  <c r="FY5" i="2"/>
  <c r="FW5" i="2"/>
  <c r="FX5" i="2"/>
  <c r="GA5" i="2"/>
  <c r="GE5" i="2"/>
  <c r="GC5" i="2"/>
  <c r="HB5" i="2" s="1"/>
  <c r="GB5" i="2"/>
  <c r="FZ5" i="2"/>
  <c r="GD5" i="2"/>
  <c r="GH5" i="2"/>
  <c r="GI5" i="2"/>
  <c r="GG5" i="2"/>
  <c r="DF6" i="2"/>
  <c r="BQ8" i="2"/>
  <c r="EX6" i="2"/>
  <c r="FW9" i="2"/>
  <c r="FX9" i="2"/>
  <c r="GB9" i="2"/>
  <c r="FZ9" i="2"/>
  <c r="FY9" i="2"/>
  <c r="GG9" i="2"/>
  <c r="GA9" i="2"/>
  <c r="GF9" i="2"/>
  <c r="HF9" i="2" s="1"/>
  <c r="GC9" i="2"/>
  <c r="HB9" i="2" s="1"/>
  <c r="GI9" i="2"/>
  <c r="GH9" i="2"/>
  <c r="GE9" i="2"/>
  <c r="GD9" i="2"/>
  <c r="BS9" i="2"/>
  <c r="BT9" i="2" s="1"/>
  <c r="BP7" i="2"/>
  <c r="BQ7" i="2" s="1"/>
  <c r="BR7" i="2"/>
  <c r="EV6" i="2"/>
  <c r="FD6" i="2"/>
  <c r="FV8" i="2"/>
  <c r="EJ8" i="2"/>
  <c r="EM8" i="2"/>
  <c r="FL8" i="2" s="1"/>
  <c r="EQ8" i="2"/>
  <c r="EI8" i="2"/>
  <c r="EN8" i="2"/>
  <c r="EG8" i="2"/>
  <c r="EH8" i="2"/>
  <c r="EK8" i="2"/>
  <c r="EO8" i="2"/>
  <c r="ES8" i="2"/>
  <c r="ER8" i="2"/>
  <c r="EL8" i="2"/>
  <c r="EP8" i="2"/>
  <c r="FP8" i="2" s="1"/>
  <c r="DE7" i="2"/>
  <c r="DB7" i="2"/>
  <c r="DC7" i="2" s="1"/>
  <c r="BS7" i="2" l="1"/>
  <c r="GJ9" i="2"/>
  <c r="GK9" i="2" s="1"/>
  <c r="GT9" i="2" s="1"/>
  <c r="GM9" i="2"/>
  <c r="BV5" i="2"/>
  <c r="BZ5" i="2" s="1"/>
  <c r="BS5" i="2"/>
  <c r="BW5" i="2"/>
  <c r="CA5" i="2" s="1"/>
  <c r="BT5" i="2"/>
  <c r="BX5" i="2" s="1"/>
  <c r="CB5" i="2" s="1"/>
  <c r="FW8" i="2"/>
  <c r="FX8" i="2"/>
  <c r="GA8" i="2"/>
  <c r="GE8" i="2"/>
  <c r="GC8" i="2"/>
  <c r="HB8" i="2" s="1"/>
  <c r="GB8" i="2"/>
  <c r="FZ8" i="2"/>
  <c r="GD8" i="2"/>
  <c r="GF8" i="2"/>
  <c r="HF8" i="2" s="1"/>
  <c r="FY8" i="2"/>
  <c r="GG8" i="2"/>
  <c r="GI8" i="2"/>
  <c r="GH8" i="2"/>
  <c r="DG6" i="2"/>
  <c r="DI6" i="2"/>
  <c r="GJ5" i="2"/>
  <c r="GK5" i="2" s="1"/>
  <c r="GT5" i="2" s="1"/>
  <c r="GM5" i="2"/>
  <c r="EV5" i="2"/>
  <c r="FD5" i="2"/>
  <c r="EV7" i="2"/>
  <c r="FD7" i="2"/>
  <c r="BT6" i="2"/>
  <c r="BV6" i="2" s="1"/>
  <c r="GN6" i="2"/>
  <c r="HL6" i="2"/>
  <c r="BV9" i="2"/>
  <c r="BZ9" i="2" s="1"/>
  <c r="DL7" i="2"/>
  <c r="DD7" i="2"/>
  <c r="DF7" i="2"/>
  <c r="ET8" i="2"/>
  <c r="EU8" i="2" s="1"/>
  <c r="EW8" i="2"/>
  <c r="EY6" i="2"/>
  <c r="EZ6" i="2" s="1"/>
  <c r="FA6" i="2"/>
  <c r="DH6" i="2"/>
  <c r="EX5" i="2"/>
  <c r="DB8" i="2"/>
  <c r="DC8" i="2" s="1"/>
  <c r="DE8" i="2"/>
  <c r="EX9" i="2"/>
  <c r="DF5" i="2"/>
  <c r="EV9" i="2"/>
  <c r="FD9" i="2"/>
  <c r="GM7" i="2"/>
  <c r="GJ7" i="2"/>
  <c r="GK7" i="2" s="1"/>
  <c r="GT7" i="2" s="1"/>
  <c r="EX7" i="2"/>
  <c r="BS8" i="2"/>
  <c r="DD5" i="2"/>
  <c r="DL5" i="2"/>
  <c r="DG9" i="2"/>
  <c r="DH9" i="2" s="1"/>
  <c r="DI9" i="2"/>
  <c r="BZ6" i="2" l="1"/>
  <c r="BW6" i="2"/>
  <c r="CA6" i="2" s="1"/>
  <c r="BY5" i="2"/>
  <c r="EY7" i="2"/>
  <c r="FA7" i="2"/>
  <c r="GN9" i="2"/>
  <c r="HL9" i="2"/>
  <c r="DG5" i="2"/>
  <c r="DH5" i="2" s="1"/>
  <c r="DI5" i="2"/>
  <c r="EY5" i="2"/>
  <c r="EZ5" i="2" s="1"/>
  <c r="FA5" i="2"/>
  <c r="DG7" i="2"/>
  <c r="DH7" i="2" s="1"/>
  <c r="DI7" i="2"/>
  <c r="DJ6" i="2"/>
  <c r="DK6" i="2" s="1"/>
  <c r="GM8" i="2"/>
  <c r="GJ8" i="2"/>
  <c r="GK8" i="2" s="1"/>
  <c r="GT8" i="2" s="1"/>
  <c r="CE5" i="2"/>
  <c r="CD5" i="2"/>
  <c r="CF5" i="2" s="1"/>
  <c r="CH5" i="2" s="1"/>
  <c r="DJ9" i="2"/>
  <c r="BT8" i="2"/>
  <c r="GN7" i="2"/>
  <c r="HL7" i="2"/>
  <c r="DF8" i="2"/>
  <c r="FC6" i="2"/>
  <c r="FB6" i="2"/>
  <c r="EX8" i="2"/>
  <c r="GO6" i="2"/>
  <c r="GP6" i="2" s="1"/>
  <c r="GQ6" i="2"/>
  <c r="BW9" i="2"/>
  <c r="BT7" i="2"/>
  <c r="EZ7" i="2"/>
  <c r="EY9" i="2"/>
  <c r="EZ9" i="2" s="1"/>
  <c r="FA9" i="2"/>
  <c r="DL8" i="2"/>
  <c r="DD8" i="2"/>
  <c r="EV8" i="2"/>
  <c r="FD8" i="2"/>
  <c r="HL5" i="2"/>
  <c r="GN5" i="2"/>
  <c r="BX6" i="2"/>
  <c r="CB6" i="2" s="1"/>
  <c r="GO5" i="2" l="1"/>
  <c r="GP5" i="2" s="1"/>
  <c r="GQ5" i="2"/>
  <c r="FB9" i="2"/>
  <c r="GR6" i="2"/>
  <c r="HK6" i="2" s="1"/>
  <c r="DK9" i="2"/>
  <c r="DJ7" i="2"/>
  <c r="DK7" i="2" s="1"/>
  <c r="DJ5" i="2"/>
  <c r="DK5" i="2" s="1"/>
  <c r="FE6" i="2"/>
  <c r="GO7" i="2"/>
  <c r="GP7" i="2" s="1"/>
  <c r="GQ7" i="2"/>
  <c r="BV7" i="2"/>
  <c r="FC7" i="2"/>
  <c r="FE7" i="2" s="1"/>
  <c r="FB7" i="2"/>
  <c r="CA9" i="2"/>
  <c r="BX9" i="2"/>
  <c r="CB9" i="2" s="1"/>
  <c r="BY9" i="2"/>
  <c r="BV8" i="2"/>
  <c r="HL8" i="2"/>
  <c r="GN8" i="2"/>
  <c r="DM6" i="2"/>
  <c r="DQ6" i="2" s="1"/>
  <c r="FB5" i="2"/>
  <c r="FE5" i="2" s="1"/>
  <c r="FC5" i="2"/>
  <c r="BY6" i="2"/>
  <c r="EY8" i="2"/>
  <c r="EZ8" i="2" s="1"/>
  <c r="FA8" i="2"/>
  <c r="DG8" i="2"/>
  <c r="DH8" i="2" s="1"/>
  <c r="DI8" i="2"/>
  <c r="GO9" i="2"/>
  <c r="GP9" i="2" s="1"/>
  <c r="GQ9" i="2"/>
  <c r="BW7" i="2"/>
  <c r="CA7" i="2" s="1"/>
  <c r="CD6" i="2"/>
  <c r="CF6" i="2" s="1"/>
  <c r="CH6" i="2" s="1"/>
  <c r="CE6" i="2"/>
  <c r="FI7" i="2" l="1"/>
  <c r="FI5" i="2"/>
  <c r="DJ8" i="2"/>
  <c r="DK8" i="2" s="1"/>
  <c r="FI6" i="2"/>
  <c r="DM9" i="2"/>
  <c r="FE9" i="2"/>
  <c r="DN9" i="2"/>
  <c r="DR9" i="2" s="1"/>
  <c r="GO8" i="2"/>
  <c r="GQ8" i="2"/>
  <c r="FC9" i="2"/>
  <c r="CD9" i="2"/>
  <c r="CF9" i="2" s="1"/>
  <c r="CH9" i="2" s="1"/>
  <c r="BZ7" i="2"/>
  <c r="DN5" i="2"/>
  <c r="DR5" i="2" s="1"/>
  <c r="DM5" i="2"/>
  <c r="DQ5" i="2" s="1"/>
  <c r="DM7" i="2"/>
  <c r="DQ7" i="2" s="1"/>
  <c r="DN6" i="2"/>
  <c r="DR6" i="2" s="1"/>
  <c r="FF6" i="2"/>
  <c r="GS6" i="2"/>
  <c r="FG6" i="2"/>
  <c r="FK6" i="2" s="1"/>
  <c r="GP8" i="2"/>
  <c r="FF5" i="2"/>
  <c r="GR9" i="2"/>
  <c r="HK9" i="2" s="1"/>
  <c r="FB8" i="2"/>
  <c r="BZ8" i="2"/>
  <c r="FF7" i="2"/>
  <c r="GR7" i="2"/>
  <c r="HK7" i="2" s="1"/>
  <c r="BX7" i="2"/>
  <c r="CB7" i="2" s="1"/>
  <c r="FH6" i="2"/>
  <c r="GR5" i="2"/>
  <c r="HK5" i="2" s="1"/>
  <c r="DO6" i="2"/>
  <c r="DS6" i="2" s="1"/>
  <c r="BW8" i="2"/>
  <c r="CA8" i="2" s="1"/>
  <c r="FC8" i="2" l="1"/>
  <c r="FJ6" i="2"/>
  <c r="CE9" i="2"/>
  <c r="GR8" i="2"/>
  <c r="HK8" i="2" s="1"/>
  <c r="GS8" i="2"/>
  <c r="FI9" i="2"/>
  <c r="FT6" i="2"/>
  <c r="BX8" i="2"/>
  <c r="CB8" i="2" s="1"/>
  <c r="CE8" i="2" s="1"/>
  <c r="DO5" i="2"/>
  <c r="DS5" i="2" s="1"/>
  <c r="DV5" i="2" s="1"/>
  <c r="DU6" i="2"/>
  <c r="DW6" i="2" s="1"/>
  <c r="DY6" i="2" s="1"/>
  <c r="GS7" i="2"/>
  <c r="FJ7" i="2"/>
  <c r="FT7" i="2" s="1"/>
  <c r="FE8" i="2"/>
  <c r="GS9" i="2"/>
  <c r="BY7" i="2"/>
  <c r="DO9" i="2"/>
  <c r="DS9" i="2" s="1"/>
  <c r="DN7" i="2"/>
  <c r="DR7" i="2" s="1"/>
  <c r="FJ5" i="2"/>
  <c r="CD7" i="2"/>
  <c r="CF7" i="2" s="1"/>
  <c r="CH7" i="2" s="1"/>
  <c r="FH5" i="2"/>
  <c r="DQ9" i="2"/>
  <c r="DP9" i="2"/>
  <c r="DM8" i="2"/>
  <c r="DQ8" i="2" s="1"/>
  <c r="FG5" i="2"/>
  <c r="FK5" i="2" s="1"/>
  <c r="FM7" i="2"/>
  <c r="FO7" i="2" s="1"/>
  <c r="FQ7" i="2" s="1"/>
  <c r="DP6" i="2"/>
  <c r="GS5" i="2"/>
  <c r="GU7" i="2"/>
  <c r="CD8" i="2"/>
  <c r="CF8" i="2" s="1"/>
  <c r="CH8" i="2" s="1"/>
  <c r="GU9" i="2"/>
  <c r="GU6" i="2"/>
  <c r="DU5" i="2"/>
  <c r="DW5" i="2" s="1"/>
  <c r="DY5" i="2" s="1"/>
  <c r="FF9" i="2"/>
  <c r="FM6" i="2"/>
  <c r="FO6" i="2" s="1"/>
  <c r="FQ6" i="2" s="1"/>
  <c r="FG7" i="2"/>
  <c r="FK7" i="2" s="1"/>
  <c r="FN7" i="2" s="1"/>
  <c r="FJ9" i="2" l="1"/>
  <c r="GY9" i="2"/>
  <c r="FM5" i="2"/>
  <c r="FO5" i="2" s="1"/>
  <c r="GU8" i="2"/>
  <c r="FR6" i="2"/>
  <c r="FS6" i="2" s="1"/>
  <c r="DV6" i="2"/>
  <c r="FN6" i="2"/>
  <c r="GU5" i="2"/>
  <c r="GV5" i="2" s="1"/>
  <c r="FT5" i="2"/>
  <c r="DU9" i="2"/>
  <c r="DW9" i="2" s="1"/>
  <c r="DY9" i="2" s="1"/>
  <c r="DP5" i="2"/>
  <c r="FF8" i="2"/>
  <c r="FG8" i="2" s="1"/>
  <c r="FK8" i="2" s="1"/>
  <c r="GV7" i="2"/>
  <c r="DO7" i="2"/>
  <c r="FG9" i="2"/>
  <c r="FK9" i="2" s="1"/>
  <c r="FM9" i="2" s="1"/>
  <c r="FT9" i="2"/>
  <c r="GV8" i="2"/>
  <c r="GV9" i="2"/>
  <c r="FI8" i="2"/>
  <c r="FH7" i="2"/>
  <c r="GY6" i="2"/>
  <c r="GV6" i="2"/>
  <c r="GW6" i="2" s="1"/>
  <c r="HA6" i="2" s="1"/>
  <c r="GY7" i="2"/>
  <c r="CE7" i="2"/>
  <c r="BY8" i="2"/>
  <c r="FR7" i="2"/>
  <c r="FS7" i="2" s="1"/>
  <c r="DN8" i="2"/>
  <c r="GZ5" i="2" l="1"/>
  <c r="FO9" i="2"/>
  <c r="FN9" i="2"/>
  <c r="GW9" i="2"/>
  <c r="HA9" i="2" s="1"/>
  <c r="DS7" i="2"/>
  <c r="DP7" i="2"/>
  <c r="GY5" i="2"/>
  <c r="GY8" i="2"/>
  <c r="FN5" i="2"/>
  <c r="GZ6" i="2"/>
  <c r="GX6" i="2"/>
  <c r="DR8" i="2"/>
  <c r="DP8" i="2"/>
  <c r="DO8" i="2"/>
  <c r="DS8" i="2" s="1"/>
  <c r="GZ9" i="2"/>
  <c r="GZ7" i="2"/>
  <c r="DV9" i="2"/>
  <c r="GX9" i="2"/>
  <c r="FH9" i="2"/>
  <c r="GW8" i="2"/>
  <c r="HA8" i="2" s="1"/>
  <c r="GW7" i="2"/>
  <c r="HA7" i="2" s="1"/>
  <c r="GZ8" i="2"/>
  <c r="FJ8" i="2"/>
  <c r="FT8" i="2" s="1"/>
  <c r="FH8" i="2"/>
  <c r="FQ5" i="2"/>
  <c r="FR5" i="2"/>
  <c r="FS5" i="2" s="1"/>
  <c r="GW5" i="2"/>
  <c r="HA5" i="2" s="1"/>
  <c r="HI8" i="2" l="1"/>
  <c r="DU7" i="2"/>
  <c r="DW7" i="2" s="1"/>
  <c r="DY7" i="2" s="1"/>
  <c r="HC9" i="2"/>
  <c r="HE9" i="2" s="1"/>
  <c r="FM8" i="2"/>
  <c r="FO8" i="2" s="1"/>
  <c r="FQ9" i="2"/>
  <c r="FR9" i="2" s="1"/>
  <c r="FS9" i="2" s="1"/>
  <c r="HI7" i="2"/>
  <c r="HX7" i="2"/>
  <c r="DU8" i="2"/>
  <c r="DW8" i="2" s="1"/>
  <c r="DY8" i="2" s="1"/>
  <c r="DV8" i="2"/>
  <c r="HC5" i="2"/>
  <c r="HE5" i="2" s="1"/>
  <c r="HI6" i="2"/>
  <c r="ID9" i="2"/>
  <c r="FN8" i="2"/>
  <c r="GX7" i="2"/>
  <c r="GX5" i="2"/>
  <c r="GX8" i="2"/>
  <c r="HC7" i="2"/>
  <c r="HE7" i="2" s="1"/>
  <c r="HQ9" i="2"/>
  <c r="HI5" i="2"/>
  <c r="HS9" i="2"/>
  <c r="HI9" i="2"/>
  <c r="HP9" i="2"/>
  <c r="HV9" i="2"/>
  <c r="HC8" i="2"/>
  <c r="HE8" i="2" s="1"/>
  <c r="HS8" i="2" s="1"/>
  <c r="HD9" i="2"/>
  <c r="HC6" i="2"/>
  <c r="HE6" i="2" s="1"/>
  <c r="HR6" i="2" s="1"/>
  <c r="IA6" i="2" l="1"/>
  <c r="HD8" i="2"/>
  <c r="HU8" i="2"/>
  <c r="HG7" i="2"/>
  <c r="HH7" i="2" s="1"/>
  <c r="HJ7" i="2"/>
  <c r="HM7" i="2" s="1"/>
  <c r="B7" i="2" s="1"/>
  <c r="HD5" i="2"/>
  <c r="IC8" i="2"/>
  <c r="HD7" i="2"/>
  <c r="ID7" i="2"/>
  <c r="HV7" i="2"/>
  <c r="HR7" i="2"/>
  <c r="HG9" i="2"/>
  <c r="HJ9" i="2"/>
  <c r="HM9" i="2" s="1"/>
  <c r="B9" i="2" s="1"/>
  <c r="HH9" i="2"/>
  <c r="HU9" i="2"/>
  <c r="IF9" i="2"/>
  <c r="HY9" i="2"/>
  <c r="IC9" i="2"/>
  <c r="HR9" i="2"/>
  <c r="HX9" i="2"/>
  <c r="II9" i="2"/>
  <c r="IG9" i="2"/>
  <c r="II8" i="2"/>
  <c r="HQ7" i="2"/>
  <c r="IC7" i="2"/>
  <c r="HP7" i="2"/>
  <c r="HP6" i="2"/>
  <c r="IC6" i="2"/>
  <c r="HG8" i="2"/>
  <c r="HJ8" i="2"/>
  <c r="HM8" i="2" s="1"/>
  <c r="B8" i="2" s="1"/>
  <c r="HH8" i="2"/>
  <c r="HU6" i="2"/>
  <c r="HG5" i="2"/>
  <c r="HJ5" i="2"/>
  <c r="HM5" i="2" s="1"/>
  <c r="HH5" i="2"/>
  <c r="HR8" i="2"/>
  <c r="ID8" i="2"/>
  <c r="IF8" i="2"/>
  <c r="HQ6" i="2"/>
  <c r="HV8" i="2"/>
  <c r="HS7" i="2"/>
  <c r="IA7" i="2"/>
  <c r="IF7" i="2"/>
  <c r="IG7" i="2"/>
  <c r="DV7" i="2"/>
  <c r="IG8" i="2"/>
  <c r="HY8" i="2"/>
  <c r="HG6" i="2"/>
  <c r="HH6" i="2" s="1"/>
  <c r="HJ6" i="2"/>
  <c r="HM6" i="2" s="1"/>
  <c r="B6" i="2" s="1"/>
  <c r="II6" i="2"/>
  <c r="HX6" i="2"/>
  <c r="IF6" i="2"/>
  <c r="HV6" i="2"/>
  <c r="HS6" i="2"/>
  <c r="ID6" i="2"/>
  <c r="IG6" i="2"/>
  <c r="HY6" i="2"/>
  <c r="HP8" i="2"/>
  <c r="HD6" i="2"/>
  <c r="IA8" i="2"/>
  <c r="HQ8" i="2"/>
  <c r="HU7" i="2"/>
  <c r="II7" i="2"/>
  <c r="HY7" i="2"/>
  <c r="FQ8" i="2"/>
  <c r="FR8" i="2"/>
  <c r="FS8" i="2" s="1"/>
  <c r="HX8" i="2"/>
  <c r="IA9" i="2"/>
</calcChain>
</file>

<file path=xl/sharedStrings.xml><?xml version="1.0" encoding="utf-8"?>
<sst xmlns="http://schemas.openxmlformats.org/spreadsheetml/2006/main" count="329" uniqueCount="123">
  <si>
    <t>Eq.</t>
  </si>
  <si>
    <t>Dependent 
variable</t>
  </si>
  <si>
    <t>Parameters used</t>
  </si>
  <si>
    <t>Range of variation</t>
  </si>
  <si>
    <t>Constant</t>
  </si>
  <si>
    <t>Independent variable coefficients</t>
  </si>
  <si>
    <t>SE (wt %)</t>
  </si>
  <si>
    <t>se (wt%)</t>
  </si>
  <si>
    <t>T ºC</t>
  </si>
  <si>
    <t>Si</t>
  </si>
  <si>
    <t>lnSi</t>
  </si>
  <si>
    <t>Al (vi)</t>
  </si>
  <si>
    <t>Mg</t>
  </si>
  <si>
    <t>Fe3+</t>
  </si>
  <si>
    <t>Fe2+</t>
  </si>
  <si>
    <t>Fetot</t>
  </si>
  <si>
    <t>Ti</t>
  </si>
  <si>
    <t>Ca</t>
  </si>
  <si>
    <t>Na (A)</t>
  </si>
  <si>
    <r>
      <t>SiO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(wt %)</t>
    </r>
  </si>
  <si>
    <r>
      <t>lnSi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>, Fe</t>
    </r>
    <r>
      <rPr>
        <vertAlign val="subscript"/>
        <sz val="10"/>
        <rFont val="Arial"/>
        <family val="2"/>
      </rPr>
      <t>T</t>
    </r>
  </si>
  <si>
    <t>39.6 - 79.2</t>
  </si>
  <si>
    <r>
      <t>lnSi</t>
    </r>
    <r>
      <rPr>
        <vertAlign val="subscript"/>
        <sz val="10"/>
        <rFont val="Arial"/>
        <family val="2"/>
      </rPr>
      <t>T</t>
    </r>
  </si>
  <si>
    <r>
      <t>lnTiO</t>
    </r>
    <r>
      <rPr>
        <vertAlign val="subscript"/>
        <sz val="10"/>
        <rFont val="Arial"/>
        <family val="2"/>
      </rPr>
      <t>2</t>
    </r>
    <r>
      <rPr>
        <sz val="12"/>
        <color theme="1"/>
        <rFont val="Calibri"/>
        <family val="2"/>
        <scheme val="minor"/>
      </rPr>
      <t/>
    </r>
  </si>
  <si>
    <t>-2.8 - 1.8</t>
  </si>
  <si>
    <r>
      <t>Si</t>
    </r>
    <r>
      <rPr>
        <vertAlign val="subscript"/>
        <sz val="10"/>
        <rFont val="Arial"/>
        <family val="2"/>
      </rPr>
      <t>T</t>
    </r>
  </si>
  <si>
    <t>ln FeO</t>
  </si>
  <si>
    <t>-0.34 - 2.75</t>
  </si>
  <si>
    <t>lnFeO</t>
  </si>
  <si>
    <r>
      <t>Si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>, Fe</t>
    </r>
    <r>
      <rPr>
        <vertAlign val="subscript"/>
        <sz val="10"/>
        <rFont val="Arial"/>
        <family val="2"/>
      </rPr>
      <t>T</t>
    </r>
  </si>
  <si>
    <t>lnMgO</t>
  </si>
  <si>
    <t>-2.19 - 2.47</t>
  </si>
  <si>
    <t>CaO (wt %)</t>
  </si>
  <si>
    <t>0.5 - 14.7</t>
  </si>
  <si>
    <t>lnCaO</t>
  </si>
  <si>
    <t>-0.7 - 2.7</t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</si>
  <si>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(wt %)</t>
    </r>
  </si>
  <si>
    <t>&lt;6.0</t>
  </si>
  <si>
    <r>
      <t>Al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(wt %)</t>
    </r>
  </si>
  <si>
    <t>11.4 - 21.5</t>
  </si>
  <si>
    <t>Molar proportions of Oxides</t>
  </si>
  <si>
    <t>Oxygen proportions contributed by oxides</t>
  </si>
  <si>
    <t>Oxygen proportions normalized to Mineral formula basis (23 oxy)</t>
  </si>
  <si>
    <t>Corresponding number of atoms contributed to formula (all ferrous)</t>
  </si>
  <si>
    <t>Ideal site assignments, all ferrous</t>
  </si>
  <si>
    <t>Normalisation factors, min ferric  (Leake et al. (1997)</t>
  </si>
  <si>
    <t>Minimum estimate of ferric iron - proportion of cations (columns BM etc)</t>
  </si>
  <si>
    <t>Ideal site assignments, min Fe3+</t>
  </si>
  <si>
    <t>Normalisation factors max ferric (Leake et al. 1997)</t>
  </si>
  <si>
    <t>Maximum estimate of ferric iron - proportion of cations (columns BM etc)</t>
  </si>
  <si>
    <t>Ideal site assignments, max Fe3+</t>
  </si>
  <si>
    <t>Ideal site assignments, average Fe3+</t>
  </si>
  <si>
    <t>CALCULATED MELT COMPOSITIONS</t>
  </si>
  <si>
    <t>Amph species</t>
  </si>
  <si>
    <t xml:space="preserve">Temperature </t>
  </si>
  <si>
    <t>SiO2</t>
  </si>
  <si>
    <t>TiO2</t>
  </si>
  <si>
    <t>Al2O3</t>
  </si>
  <si>
    <t>Cr2O3</t>
  </si>
  <si>
    <t>FeO</t>
  </si>
  <si>
    <t>MgO</t>
  </si>
  <si>
    <t>CaO</t>
  </si>
  <si>
    <t>MnO</t>
  </si>
  <si>
    <t>Na2O</t>
  </si>
  <si>
    <t>K2O</t>
  </si>
  <si>
    <t>F</t>
  </si>
  <si>
    <t>Cl</t>
  </si>
  <si>
    <t>Total</t>
  </si>
  <si>
    <t>Al</t>
  </si>
  <si>
    <t>Cr</t>
  </si>
  <si>
    <t>Fe</t>
  </si>
  <si>
    <t>Mn</t>
  </si>
  <si>
    <t>Na</t>
  </si>
  <si>
    <t>K</t>
  </si>
  <si>
    <t>OH</t>
  </si>
  <si>
    <t>Sum cations</t>
  </si>
  <si>
    <t>Al(IV)</t>
  </si>
  <si>
    <t>Ti(IV)</t>
  </si>
  <si>
    <t>Al(VI)</t>
  </si>
  <si>
    <t>8Si</t>
  </si>
  <si>
    <t>16CAT</t>
  </si>
  <si>
    <t>15eNK</t>
  </si>
  <si>
    <t>FACTOR</t>
  </si>
  <si>
    <t>new Sum</t>
  </si>
  <si>
    <t>min Fe3+</t>
  </si>
  <si>
    <t>CHECK</t>
  </si>
  <si>
    <t>8SiAl</t>
  </si>
  <si>
    <t>15eK</t>
  </si>
  <si>
    <t>13eCNK</t>
  </si>
  <si>
    <t>All ferric</t>
  </si>
  <si>
    <t>max Fe3+</t>
  </si>
  <si>
    <t>Check</t>
  </si>
  <si>
    <t>Species</t>
  </si>
  <si>
    <t>Mg#</t>
  </si>
  <si>
    <t>avg Fe3+</t>
  </si>
  <si>
    <t>Mg-number</t>
  </si>
  <si>
    <t>A-site total</t>
  </si>
  <si>
    <t>Equation</t>
  </si>
  <si>
    <t>FeOT</t>
  </si>
  <si>
    <t>H2O</t>
  </si>
  <si>
    <t>°C</t>
  </si>
  <si>
    <t>Tetrahedral site</t>
  </si>
  <si>
    <t>M1, M2, M3 sites</t>
  </si>
  <si>
    <t>M4 site</t>
  </si>
  <si>
    <t>A site</t>
  </si>
  <si>
    <t>wt% SiO2</t>
  </si>
  <si>
    <t>wt% TiO2</t>
  </si>
  <si>
    <t>wt% FeO</t>
  </si>
  <si>
    <t>wt% MgO</t>
  </si>
  <si>
    <t>wt% CaO</t>
  </si>
  <si>
    <t>wt% K2O</t>
  </si>
  <si>
    <t>wt% Al2O3</t>
  </si>
  <si>
    <t>SiT</t>
  </si>
  <si>
    <t>Ernst &amp; Liu (1998). Am Min 83, 952-969</t>
  </si>
  <si>
    <t>Adam &amp; Green (2006). CMP 152, 1-17</t>
  </si>
  <si>
    <t>Adam et al. (1993). Chem Geol 109, 29-49</t>
  </si>
  <si>
    <t>Zhang et al. (2017) American Mineralogist - appendix table 2</t>
  </si>
  <si>
    <r>
      <rPr>
        <b/>
        <sz val="10"/>
        <rFont val="Arial"/>
        <family val="2"/>
      </rPr>
      <t>Table 2</t>
    </r>
    <r>
      <rPr>
        <sz val="10"/>
        <rFont val="Arial"/>
        <family val="2"/>
      </rPr>
      <t xml:space="preserve"> Results of multiple linear regressions used for estimating melt major element compositions on the basis of temperature and calcic-amphibole component. N = 130</t>
    </r>
  </si>
  <si>
    <r>
      <t>Multiple R</t>
    </r>
    <r>
      <rPr>
        <b/>
        <i/>
        <vertAlign val="superscript"/>
        <sz val="10"/>
        <rFont val="Arial"/>
        <family val="2"/>
      </rPr>
      <t>2</t>
    </r>
  </si>
  <si>
    <r>
      <t xml:space="preserve">Normal font indicates p-value &lt; 0.01; bold font indicates the </t>
    </r>
    <r>
      <rPr>
        <i/>
        <sz val="10"/>
        <rFont val="Arial"/>
        <family val="2"/>
      </rPr>
      <t>p-value</t>
    </r>
    <r>
      <rPr>
        <sz val="10"/>
        <rFont val="Arial"/>
        <family val="2"/>
      </rPr>
      <t xml:space="preserve"> of the parameter or the constant is 0.01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p-value</t>
    </r>
    <r>
      <rPr>
        <sz val="10"/>
        <rFont val="Arial"/>
        <family val="2"/>
      </rPr>
      <t xml:space="preserve"> &lt; 0.05</t>
    </r>
  </si>
  <si>
    <t>wt% SiO2 (T)</t>
  </si>
  <si>
    <t>wt% TiO2 (T)</t>
  </si>
  <si>
    <t>e.g. from Deer, Howie &amp; Zussman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</si>
</sst>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i/>
      <sz val="10"/>
      <color theme="0" tint="-0.499984740745262"/>
      <name val="Arial"/>
      <family val="2"/>
    </font>
    <font>
      <i/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0"/>
      <color rgb="FF000000"/>
      <name val="Arial"/>
      <family val="2"/>
    </font>
    <font>
      <b/>
      <sz val="13"/>
      <color theme="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i/>
      <sz val="10"/>
      <name val="Arial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5">
    <xf numFmtId="0" fontId="0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Fill="1"/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/>
    <xf numFmtId="164" fontId="7" fillId="2" borderId="0" xfId="0" applyNumberFormat="1" applyFont="1" applyFill="1" applyBorder="1"/>
    <xf numFmtId="164" fontId="5" fillId="2" borderId="0" xfId="0" applyNumberFormat="1" applyFont="1" applyFill="1" applyBorder="1"/>
    <xf numFmtId="165" fontId="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8" fillId="0" borderId="0" xfId="0" applyFont="1"/>
    <xf numFmtId="2" fontId="8" fillId="0" borderId="0" xfId="0" applyNumberFormat="1" applyFont="1"/>
    <xf numFmtId="164" fontId="7" fillId="2" borderId="0" xfId="0" applyNumberFormat="1" applyFont="1" applyFill="1" applyBorder="1" applyAlignment="1"/>
    <xf numFmtId="0" fontId="5" fillId="2" borderId="0" xfId="0" quotePrefix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/>
    <xf numFmtId="164" fontId="5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0" fillId="3" borderId="0" xfId="0" applyFill="1"/>
    <xf numFmtId="2" fontId="0" fillId="3" borderId="0" xfId="0" applyNumberFormat="1" applyFill="1"/>
    <xf numFmtId="0" fontId="0" fillId="0" borderId="5" xfId="0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6" xfId="0" applyFill="1" applyBorder="1"/>
    <xf numFmtId="0" fontId="2" fillId="0" borderId="5" xfId="0" applyFont="1" applyFill="1" applyBorder="1"/>
    <xf numFmtId="0" fontId="2" fillId="4" borderId="5" xfId="0" applyFont="1" applyFill="1" applyBorder="1"/>
    <xf numFmtId="0" fontId="0" fillId="4" borderId="0" xfId="0" applyFill="1" applyBorder="1"/>
    <xf numFmtId="0" fontId="11" fillId="4" borderId="0" xfId="0" applyFont="1" applyFill="1" applyBorder="1"/>
    <xf numFmtId="0" fontId="11" fillId="4" borderId="6" xfId="0" applyFont="1" applyFill="1" applyBorder="1"/>
    <xf numFmtId="0" fontId="12" fillId="0" borderId="0" xfId="0" applyFont="1" applyFill="1"/>
    <xf numFmtId="0" fontId="2" fillId="0" borderId="0" xfId="0" applyFont="1" applyFill="1"/>
    <xf numFmtId="0" fontId="2" fillId="5" borderId="0" xfId="0" applyFont="1" applyFill="1"/>
    <xf numFmtId="0" fontId="11" fillId="0" borderId="0" xfId="0" applyFont="1" applyFill="1"/>
    <xf numFmtId="0" fontId="2" fillId="6" borderId="0" xfId="0" applyFont="1" applyFill="1"/>
    <xf numFmtId="0" fontId="0" fillId="6" borderId="0" xfId="0" applyFill="1"/>
    <xf numFmtId="0" fontId="2" fillId="7" borderId="0" xfId="0" applyFont="1" applyFill="1"/>
    <xf numFmtId="0" fontId="0" fillId="7" borderId="0" xfId="0" applyFill="1"/>
    <xf numFmtId="0" fontId="8" fillId="0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/>
    <xf numFmtId="2" fontId="2" fillId="3" borderId="0" xfId="0" applyNumberFormat="1" applyFont="1" applyFill="1"/>
    <xf numFmtId="0" fontId="2" fillId="0" borderId="6" xfId="0" applyFont="1" applyFill="1" applyBorder="1"/>
    <xf numFmtId="0" fontId="2" fillId="4" borderId="0" xfId="0" applyFont="1" applyFill="1" applyBorder="1"/>
    <xf numFmtId="0" fontId="12" fillId="4" borderId="0" xfId="0" applyFont="1" applyFill="1" applyBorder="1"/>
    <xf numFmtId="0" fontId="12" fillId="4" borderId="6" xfId="0" applyFont="1" applyFill="1" applyBorder="1"/>
    <xf numFmtId="0" fontId="8" fillId="7" borderId="0" xfId="0" applyFont="1" applyFill="1"/>
    <xf numFmtId="0" fontId="16" fillId="3" borderId="0" xfId="0" applyFont="1" applyFill="1"/>
    <xf numFmtId="0" fontId="17" fillId="3" borderId="0" xfId="0" applyFont="1" applyFill="1" applyBorder="1" applyAlignment="1">
      <alignment horizontal="right"/>
    </xf>
    <xf numFmtId="2" fontId="16" fillId="3" borderId="0" xfId="0" applyNumberFormat="1" applyFont="1" applyFill="1"/>
    <xf numFmtId="0" fontId="16" fillId="0" borderId="0" xfId="0" applyFont="1" applyFill="1"/>
    <xf numFmtId="0" fontId="16" fillId="0" borderId="5" xfId="0" applyFont="1" applyFill="1" applyBorder="1"/>
    <xf numFmtId="0" fontId="16" fillId="0" borderId="0" xfId="0" applyFont="1" applyFill="1" applyBorder="1"/>
    <xf numFmtId="0" fontId="16" fillId="0" borderId="6" xfId="0" applyFont="1" applyFill="1" applyBorder="1"/>
    <xf numFmtId="0" fontId="16" fillId="4" borderId="5" xfId="0" applyFont="1" applyFill="1" applyBorder="1"/>
    <xf numFmtId="0" fontId="16" fillId="4" borderId="0" xfId="0" applyFont="1" applyFill="1" applyBorder="1"/>
    <xf numFmtId="0" fontId="18" fillId="4" borderId="0" xfId="0" applyFont="1" applyFill="1"/>
    <xf numFmtId="0" fontId="16" fillId="4" borderId="6" xfId="0" applyFont="1" applyFill="1" applyBorder="1"/>
    <xf numFmtId="0" fontId="16" fillId="5" borderId="0" xfId="0" applyFont="1" applyFill="1"/>
    <xf numFmtId="0" fontId="18" fillId="5" borderId="0" xfId="0" applyFont="1" applyFill="1"/>
    <xf numFmtId="0" fontId="18" fillId="0" borderId="0" xfId="0" applyFont="1" applyFill="1"/>
    <xf numFmtId="0" fontId="16" fillId="6" borderId="0" xfId="0" applyFont="1" applyFill="1"/>
    <xf numFmtId="0" fontId="18" fillId="6" borderId="0" xfId="0" applyFont="1" applyFill="1"/>
    <xf numFmtId="0" fontId="19" fillId="0" borderId="0" xfId="0" applyFont="1" applyFill="1"/>
    <xf numFmtId="0" fontId="19" fillId="7" borderId="0" xfId="0" applyFont="1" applyFill="1"/>
    <xf numFmtId="0" fontId="8" fillId="3" borderId="0" xfId="0" applyFont="1" applyFill="1"/>
    <xf numFmtId="0" fontId="18" fillId="4" borderId="0" xfId="0" applyFont="1" applyFill="1" applyBorder="1"/>
    <xf numFmtId="0" fontId="18" fillId="4" borderId="6" xfId="0" applyFont="1" applyFill="1" applyBorder="1"/>
    <xf numFmtId="0" fontId="3" fillId="3" borderId="0" xfId="0" applyFont="1" applyFill="1" applyBorder="1"/>
    <xf numFmtId="0" fontId="0" fillId="4" borderId="5" xfId="0" applyFill="1" applyBorder="1"/>
    <xf numFmtId="0" fontId="0" fillId="5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5" fontId="19" fillId="7" borderId="0" xfId="0" applyNumberFormat="1" applyFont="1" applyFill="1"/>
    <xf numFmtId="165" fontId="16" fillId="7" borderId="0" xfId="0" applyNumberFormat="1" applyFont="1" applyFill="1"/>
    <xf numFmtId="0" fontId="2" fillId="7" borderId="0" xfId="0" applyFont="1" applyFill="1" applyAlignment="1">
      <alignment wrapText="1"/>
    </xf>
    <xf numFmtId="0" fontId="22" fillId="7" borderId="0" xfId="0" applyFont="1" applyFill="1"/>
    <xf numFmtId="0" fontId="23" fillId="7" borderId="0" xfId="0" applyFont="1" applyFill="1"/>
    <xf numFmtId="165" fontId="24" fillId="7" borderId="0" xfId="0" applyNumberFormat="1" applyFont="1" applyFill="1"/>
    <xf numFmtId="165" fontId="18" fillId="7" borderId="0" xfId="0" applyNumberFormat="1" applyFont="1" applyFill="1"/>
    <xf numFmtId="0" fontId="25" fillId="3" borderId="0" xfId="1" applyFont="1" applyFill="1" applyBorder="1" applyAlignment="1">
      <alignment horizontal="left"/>
    </xf>
    <xf numFmtId="0" fontId="18" fillId="3" borderId="0" xfId="0" applyFont="1" applyFill="1"/>
    <xf numFmtId="2" fontId="18" fillId="3" borderId="0" xfId="0" applyNumberFormat="1" applyFont="1" applyFill="1"/>
    <xf numFmtId="0" fontId="18" fillId="0" borderId="5" xfId="0" applyFont="1" applyFill="1" applyBorder="1"/>
    <xf numFmtId="0" fontId="18" fillId="0" borderId="0" xfId="0" applyFont="1" applyFill="1" applyBorder="1"/>
    <xf numFmtId="0" fontId="18" fillId="0" borderId="6" xfId="0" applyFont="1" applyFill="1" applyBorder="1"/>
    <xf numFmtId="0" fontId="18" fillId="4" borderId="5" xfId="0" applyFont="1" applyFill="1" applyBorder="1"/>
    <xf numFmtId="0" fontId="18" fillId="7" borderId="0" xfId="0" applyFont="1" applyFill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Fill="1"/>
    <xf numFmtId="0" fontId="25" fillId="3" borderId="0" xfId="0" applyFont="1" applyFill="1" applyBorder="1"/>
    <xf numFmtId="0" fontId="26" fillId="3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4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  <cellStyle name="Normal 2" xfId="1"/>
    <cellStyle name="Normal 5" xfId="2"/>
    <cellStyle name="Normal 5 2" xfId="3"/>
    <cellStyle name="Normal 5_Sheet1" xf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"/>
  <sheetViews>
    <sheetView tabSelected="1" workbookViewId="0">
      <pane ySplit="5" topLeftCell="A6" activePane="bottomLeft" state="frozenSplit"/>
      <selection activeCell="HN1" sqref="HN1"/>
      <selection pane="bottomLeft" activeCell="B6" sqref="B6"/>
    </sheetView>
  </sheetViews>
  <sheetFormatPr defaultColWidth="10.875" defaultRowHeight="15.75" x14ac:dyDescent="0.25"/>
  <cols>
    <col min="1" max="1" width="35.625" style="69" customWidth="1"/>
    <col min="2" max="2" width="9.5" style="20" customWidth="1"/>
    <col min="3" max="16" width="8.625" style="20" customWidth="1"/>
    <col min="17" max="17" width="12.375" style="1" customWidth="1"/>
    <col min="18" max="18" width="8.375" style="22" hidden="1" customWidth="1"/>
    <col min="19" max="28" width="8.375" style="24" hidden="1" customWidth="1"/>
    <col min="29" max="29" width="8.375" style="25" hidden="1" customWidth="1"/>
    <col min="30" max="30" width="10" style="22" hidden="1" customWidth="1"/>
    <col min="31" max="39" width="10" style="24" hidden="1" customWidth="1"/>
    <col min="40" max="40" width="10" style="25" hidden="1" customWidth="1"/>
    <col min="41" max="41" width="10" style="22" hidden="1" customWidth="1"/>
    <col min="42" max="50" width="10" style="24" hidden="1" customWidth="1"/>
    <col min="51" max="51" width="10" style="25" hidden="1" customWidth="1"/>
    <col min="52" max="52" width="10.125" style="22" hidden="1" customWidth="1"/>
    <col min="53" max="64" width="10.125" style="24" hidden="1" customWidth="1"/>
    <col min="65" max="65" width="10.125" style="25" hidden="1" customWidth="1"/>
    <col min="66" max="66" width="10.125" style="70" hidden="1" customWidth="1"/>
    <col min="67" max="68" width="10.125" style="28" hidden="1" customWidth="1"/>
    <col min="69" max="69" width="5.5" style="29" hidden="1" customWidth="1"/>
    <col min="70" max="76" width="10.125" style="28" hidden="1" customWidth="1"/>
    <col min="77" max="77" width="6" style="29" hidden="1" customWidth="1"/>
    <col min="78" max="85" width="10.125" style="28" hidden="1" customWidth="1"/>
    <col min="86" max="86" width="6" style="30" hidden="1" customWidth="1"/>
    <col min="87" max="87" width="10.125" style="1" hidden="1" customWidth="1"/>
    <col min="88" max="90" width="10.125" style="34" hidden="1" customWidth="1"/>
    <col min="91" max="108" width="10.125" style="1" hidden="1" customWidth="1"/>
    <col min="109" max="129" width="10.125" style="71" hidden="1" customWidth="1"/>
    <col min="130" max="130" width="10.125" style="1" hidden="1" customWidth="1"/>
    <col min="131" max="134" width="10.125" style="34" hidden="1" customWidth="1"/>
    <col min="135" max="152" width="10.125" style="1" hidden="1" customWidth="1"/>
    <col min="153" max="175" width="10.125" style="36" hidden="1" customWidth="1"/>
    <col min="176" max="177" width="10.125" style="1" hidden="1" customWidth="1"/>
    <col min="178" max="193" width="0" style="1" hidden="1" customWidth="1"/>
    <col min="194" max="194" width="10.875" style="1"/>
    <col min="195" max="197" width="8.125" style="38" customWidth="1"/>
    <col min="198" max="198" width="8.125" style="86" customWidth="1"/>
    <col min="199" max="205" width="8.125" style="38" customWidth="1"/>
    <col min="206" max="206" width="8.125" style="86" customWidth="1"/>
    <col min="207" max="211" width="8.125" style="38" customWidth="1"/>
    <col min="212" max="212" width="8.125" style="86" customWidth="1"/>
    <col min="213" max="215" width="8.125" style="38" customWidth="1"/>
    <col min="216" max="216" width="10.875" style="38"/>
    <col min="217" max="220" width="8.375" style="38" customWidth="1"/>
    <col min="221" max="221" width="10.875" style="38"/>
    <col min="222" max="223" width="10.875" style="1"/>
    <col min="224" max="225" width="10.875" style="75"/>
    <col min="226" max="226" width="12.125" style="75" customWidth="1"/>
    <col min="227" max="227" width="10.875" style="75"/>
    <col min="228" max="228" width="3.375" style="75" customWidth="1"/>
    <col min="229" max="229" width="12.125" style="74" customWidth="1"/>
    <col min="230" max="230" width="10.875" style="74"/>
    <col min="231" max="231" width="3.375" style="74" customWidth="1"/>
    <col min="232" max="232" width="10.875" style="75"/>
    <col min="233" max="233" width="10.875" style="76"/>
    <col min="234" max="234" width="3.375" style="77" customWidth="1"/>
    <col min="235" max="235" width="10.875" style="76"/>
    <col min="236" max="236" width="3.375" style="76" customWidth="1"/>
    <col min="237" max="237" width="10.875" style="75"/>
    <col min="238" max="238" width="12.125" style="78" customWidth="1"/>
    <col min="239" max="239" width="3.375" style="75" customWidth="1"/>
    <col min="240" max="241" width="10.875" style="75"/>
    <col min="242" max="242" width="3.375" style="75" customWidth="1"/>
    <col min="243" max="243" width="10.875" style="75"/>
    <col min="244" max="244" width="10.875" style="1"/>
    <col min="245" max="245" width="9.625" style="1" customWidth="1"/>
    <col min="246" max="16384" width="10.875" style="1"/>
  </cols>
  <sheetData>
    <row r="1" spans="1:244" ht="16.5" x14ac:dyDescent="0.25">
      <c r="A1" s="101" t="s">
        <v>116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R1" s="22">
        <f>2*55.845+3*15.9994</f>
        <v>159.68819999999999</v>
      </c>
      <c r="S1" s="23" t="s">
        <v>40</v>
      </c>
      <c r="AD1" s="26" t="s">
        <v>41</v>
      </c>
      <c r="AO1" s="26" t="s">
        <v>42</v>
      </c>
      <c r="AZ1" s="26" t="s">
        <v>43</v>
      </c>
      <c r="BN1" s="27" t="s">
        <v>44</v>
      </c>
      <c r="CJ1" s="31" t="s">
        <v>45</v>
      </c>
      <c r="CK1" s="31"/>
      <c r="CL1" s="31"/>
      <c r="CN1" s="32" t="s">
        <v>46</v>
      </c>
      <c r="DE1" s="33" t="s">
        <v>47</v>
      </c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EA1" s="31" t="s">
        <v>48</v>
      </c>
      <c r="EF1" s="32" t="s">
        <v>49</v>
      </c>
      <c r="EW1" s="35" t="s">
        <v>50</v>
      </c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V1" s="32"/>
      <c r="GM1" s="37" t="s">
        <v>51</v>
      </c>
      <c r="HP1" s="72" t="s">
        <v>52</v>
      </c>
      <c r="HQ1" s="73"/>
      <c r="HS1" s="73"/>
      <c r="HT1" s="73"/>
      <c r="IE1" s="74"/>
    </row>
    <row r="2" spans="1:244" x14ac:dyDescent="0.25">
      <c r="A2" s="19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S2" s="23"/>
      <c r="AD2" s="26"/>
      <c r="AO2" s="26"/>
      <c r="AZ2" s="26"/>
      <c r="BN2" s="27"/>
      <c r="CJ2" s="31"/>
      <c r="CK2" s="31"/>
      <c r="CL2" s="31"/>
      <c r="CN2" s="32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EA2" s="31"/>
      <c r="EF2" s="32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V2" s="32"/>
      <c r="GM2" s="37"/>
      <c r="HP2" s="73"/>
      <c r="HQ2" s="73"/>
      <c r="HR2" s="73"/>
      <c r="HS2" s="73"/>
      <c r="HT2" s="73"/>
      <c r="IE2" s="74"/>
    </row>
    <row r="3" spans="1:244" s="32" customFormat="1" ht="31.5" x14ac:dyDescent="0.25">
      <c r="A3" s="66"/>
      <c r="B3" s="40" t="s">
        <v>53</v>
      </c>
      <c r="C3" s="42">
        <v>60.08</v>
      </c>
      <c r="D3" s="42">
        <v>79.87</v>
      </c>
      <c r="E3" s="42">
        <v>101.96120000000001</v>
      </c>
      <c r="F3" s="42">
        <v>151.99</v>
      </c>
      <c r="G3" s="42">
        <v>71.84</v>
      </c>
      <c r="H3" s="42">
        <v>40.31</v>
      </c>
      <c r="I3" s="42">
        <v>56.08</v>
      </c>
      <c r="J3" s="42">
        <v>70.94</v>
      </c>
      <c r="K3" s="42">
        <v>61.978999999999999</v>
      </c>
      <c r="L3" s="42">
        <v>94.203400000000002</v>
      </c>
      <c r="M3" s="42">
        <v>19</v>
      </c>
      <c r="N3" s="42">
        <v>35.450000000000003</v>
      </c>
      <c r="O3" s="42">
        <v>18.015000000000001</v>
      </c>
      <c r="P3" s="42"/>
      <c r="Q3" s="32" t="s">
        <v>54</v>
      </c>
      <c r="R3" s="26" t="s">
        <v>55</v>
      </c>
      <c r="S3" s="23" t="s">
        <v>56</v>
      </c>
      <c r="T3" s="23" t="s">
        <v>57</v>
      </c>
      <c r="U3" s="23" t="s">
        <v>58</v>
      </c>
      <c r="V3" s="23" t="s">
        <v>59</v>
      </c>
      <c r="W3" s="23" t="s">
        <v>60</v>
      </c>
      <c r="X3" s="23" t="s">
        <v>61</v>
      </c>
      <c r="Y3" s="23" t="s">
        <v>62</v>
      </c>
      <c r="Z3" s="23" t="s">
        <v>63</v>
      </c>
      <c r="AA3" s="23" t="s">
        <v>64</v>
      </c>
      <c r="AB3" s="23" t="s">
        <v>65</v>
      </c>
      <c r="AC3" s="43" t="s">
        <v>66</v>
      </c>
      <c r="AD3" s="26" t="s">
        <v>55</v>
      </c>
      <c r="AE3" s="23" t="s">
        <v>56</v>
      </c>
      <c r="AF3" s="23" t="s">
        <v>57</v>
      </c>
      <c r="AG3" s="23" t="s">
        <v>58</v>
      </c>
      <c r="AH3" s="23" t="s">
        <v>59</v>
      </c>
      <c r="AI3" s="23" t="s">
        <v>60</v>
      </c>
      <c r="AJ3" s="23" t="s">
        <v>61</v>
      </c>
      <c r="AK3" s="23" t="s">
        <v>62</v>
      </c>
      <c r="AL3" s="23" t="s">
        <v>63</v>
      </c>
      <c r="AM3" s="23" t="s">
        <v>64</v>
      </c>
      <c r="AN3" s="43" t="s">
        <v>67</v>
      </c>
      <c r="AO3" s="26" t="s">
        <v>55</v>
      </c>
      <c r="AP3" s="23" t="s">
        <v>56</v>
      </c>
      <c r="AQ3" s="23" t="s">
        <v>57</v>
      </c>
      <c r="AR3" s="23" t="s">
        <v>58</v>
      </c>
      <c r="AS3" s="23" t="s">
        <v>59</v>
      </c>
      <c r="AT3" s="23" t="s">
        <v>60</v>
      </c>
      <c r="AU3" s="23" t="s">
        <v>61</v>
      </c>
      <c r="AV3" s="23" t="s">
        <v>62</v>
      </c>
      <c r="AW3" s="23" t="s">
        <v>63</v>
      </c>
      <c r="AX3" s="23" t="s">
        <v>64</v>
      </c>
      <c r="AY3" s="43" t="s">
        <v>67</v>
      </c>
      <c r="AZ3" s="26" t="s">
        <v>9</v>
      </c>
      <c r="BA3" s="23" t="s">
        <v>16</v>
      </c>
      <c r="BB3" s="23" t="s">
        <v>68</v>
      </c>
      <c r="BC3" s="23" t="s">
        <v>69</v>
      </c>
      <c r="BD3" s="23" t="s">
        <v>70</v>
      </c>
      <c r="BE3" s="23" t="s">
        <v>12</v>
      </c>
      <c r="BF3" s="23" t="s">
        <v>17</v>
      </c>
      <c r="BG3" s="23" t="s">
        <v>71</v>
      </c>
      <c r="BH3" s="23" t="s">
        <v>72</v>
      </c>
      <c r="BI3" s="23" t="s">
        <v>73</v>
      </c>
      <c r="BJ3" s="23" t="s">
        <v>65</v>
      </c>
      <c r="BK3" s="23" t="s">
        <v>66</v>
      </c>
      <c r="BL3" s="23" t="s">
        <v>74</v>
      </c>
      <c r="BM3" s="43" t="s">
        <v>75</v>
      </c>
      <c r="BN3" s="27" t="s">
        <v>9</v>
      </c>
      <c r="BO3" s="44" t="s">
        <v>76</v>
      </c>
      <c r="BP3" s="44" t="s">
        <v>77</v>
      </c>
      <c r="BQ3" s="45" t="s">
        <v>67</v>
      </c>
      <c r="BR3" s="44" t="s">
        <v>78</v>
      </c>
      <c r="BS3" s="44" t="s">
        <v>16</v>
      </c>
      <c r="BT3" s="44" t="s">
        <v>69</v>
      </c>
      <c r="BU3" s="44" t="s">
        <v>13</v>
      </c>
      <c r="BV3" s="44" t="s">
        <v>12</v>
      </c>
      <c r="BW3" s="44" t="s">
        <v>14</v>
      </c>
      <c r="BX3" s="44" t="s">
        <v>71</v>
      </c>
      <c r="BY3" s="45" t="s">
        <v>67</v>
      </c>
      <c r="BZ3" s="44" t="s">
        <v>12</v>
      </c>
      <c r="CA3" s="44" t="s">
        <v>14</v>
      </c>
      <c r="CB3" s="44" t="s">
        <v>71</v>
      </c>
      <c r="CC3" s="44" t="s">
        <v>17</v>
      </c>
      <c r="CD3" s="44" t="s">
        <v>72</v>
      </c>
      <c r="CE3" s="44" t="s">
        <v>67</v>
      </c>
      <c r="CF3" s="44" t="s">
        <v>72</v>
      </c>
      <c r="CG3" s="44" t="s">
        <v>73</v>
      </c>
      <c r="CH3" s="46" t="s">
        <v>67</v>
      </c>
      <c r="CJ3" s="31" t="s">
        <v>79</v>
      </c>
      <c r="CK3" s="31" t="s">
        <v>80</v>
      </c>
      <c r="CL3" s="31" t="s">
        <v>81</v>
      </c>
      <c r="CN3" s="32" t="s">
        <v>82</v>
      </c>
      <c r="CO3" s="32" t="s">
        <v>9</v>
      </c>
      <c r="CP3" s="32" t="s">
        <v>16</v>
      </c>
      <c r="CQ3" s="32" t="s">
        <v>68</v>
      </c>
      <c r="CR3" s="32" t="s">
        <v>69</v>
      </c>
      <c r="CS3" s="32" t="s">
        <v>70</v>
      </c>
      <c r="CT3" s="32" t="s">
        <v>12</v>
      </c>
      <c r="CU3" s="32" t="s">
        <v>17</v>
      </c>
      <c r="CV3" s="32" t="s">
        <v>71</v>
      </c>
      <c r="CW3" s="32" t="s">
        <v>72</v>
      </c>
      <c r="CX3" s="32" t="s">
        <v>73</v>
      </c>
      <c r="CY3" s="32" t="s">
        <v>65</v>
      </c>
      <c r="CZ3" s="32" t="s">
        <v>66</v>
      </c>
      <c r="DA3" s="32" t="s">
        <v>74</v>
      </c>
      <c r="DB3" s="32" t="s">
        <v>83</v>
      </c>
      <c r="DC3" s="32" t="s">
        <v>84</v>
      </c>
      <c r="DD3" s="32" t="s">
        <v>85</v>
      </c>
      <c r="DE3" s="33" t="s">
        <v>9</v>
      </c>
      <c r="DF3" s="33" t="s">
        <v>76</v>
      </c>
      <c r="DG3" s="33" t="s">
        <v>77</v>
      </c>
      <c r="DH3" s="33" t="s">
        <v>67</v>
      </c>
      <c r="DI3" s="33" t="s">
        <v>78</v>
      </c>
      <c r="DJ3" s="33" t="s">
        <v>16</v>
      </c>
      <c r="DK3" s="33" t="s">
        <v>69</v>
      </c>
      <c r="DL3" s="33" t="s">
        <v>13</v>
      </c>
      <c r="DM3" s="33" t="s">
        <v>12</v>
      </c>
      <c r="DN3" s="33" t="s">
        <v>14</v>
      </c>
      <c r="DO3" s="33" t="s">
        <v>71</v>
      </c>
      <c r="DP3" s="33" t="s">
        <v>67</v>
      </c>
      <c r="DQ3" s="33" t="s">
        <v>12</v>
      </c>
      <c r="DR3" s="33" t="s">
        <v>14</v>
      </c>
      <c r="DS3" s="33" t="s">
        <v>71</v>
      </c>
      <c r="DT3" s="33" t="s">
        <v>17</v>
      </c>
      <c r="DU3" s="33" t="s">
        <v>72</v>
      </c>
      <c r="DV3" s="33" t="s">
        <v>67</v>
      </c>
      <c r="DW3" s="33" t="s">
        <v>72</v>
      </c>
      <c r="DX3" s="33" t="s">
        <v>73</v>
      </c>
      <c r="DY3" s="33" t="s">
        <v>67</v>
      </c>
      <c r="EA3" s="31" t="s">
        <v>86</v>
      </c>
      <c r="EB3" s="31" t="s">
        <v>87</v>
      </c>
      <c r="EC3" s="31" t="s">
        <v>88</v>
      </c>
      <c r="ED3" s="31" t="s">
        <v>89</v>
      </c>
      <c r="EF3" s="32" t="s">
        <v>82</v>
      </c>
      <c r="EG3" s="32" t="s">
        <v>9</v>
      </c>
      <c r="EH3" s="32" t="s">
        <v>16</v>
      </c>
      <c r="EI3" s="32" t="s">
        <v>68</v>
      </c>
      <c r="EJ3" s="32" t="s">
        <v>69</v>
      </c>
      <c r="EK3" s="32" t="s">
        <v>70</v>
      </c>
      <c r="EL3" s="32" t="s">
        <v>12</v>
      </c>
      <c r="EM3" s="32" t="s">
        <v>17</v>
      </c>
      <c r="EN3" s="32" t="s">
        <v>71</v>
      </c>
      <c r="EO3" s="32" t="s">
        <v>72</v>
      </c>
      <c r="EP3" s="32" t="s">
        <v>73</v>
      </c>
      <c r="EQ3" s="32" t="s">
        <v>65</v>
      </c>
      <c r="ER3" s="32" t="s">
        <v>66</v>
      </c>
      <c r="ES3" s="32" t="s">
        <v>74</v>
      </c>
      <c r="ET3" s="32" t="s">
        <v>83</v>
      </c>
      <c r="EU3" s="32" t="s">
        <v>90</v>
      </c>
      <c r="EV3" s="32" t="s">
        <v>85</v>
      </c>
      <c r="EW3" s="35" t="s">
        <v>9</v>
      </c>
      <c r="EX3" s="35" t="s">
        <v>76</v>
      </c>
      <c r="EY3" s="35" t="s">
        <v>77</v>
      </c>
      <c r="EZ3" s="35" t="s">
        <v>67</v>
      </c>
      <c r="FA3" s="35" t="s">
        <v>78</v>
      </c>
      <c r="FB3" s="35" t="s">
        <v>16</v>
      </c>
      <c r="FC3" s="35" t="s">
        <v>69</v>
      </c>
      <c r="FD3" s="35" t="s">
        <v>13</v>
      </c>
      <c r="FE3" s="35" t="s">
        <v>12</v>
      </c>
      <c r="FF3" s="35" t="s">
        <v>14</v>
      </c>
      <c r="FG3" s="35" t="s">
        <v>71</v>
      </c>
      <c r="FH3" s="35" t="s">
        <v>67</v>
      </c>
      <c r="FI3" s="35" t="s">
        <v>12</v>
      </c>
      <c r="FJ3" s="35" t="s">
        <v>14</v>
      </c>
      <c r="FK3" s="35" t="s">
        <v>71</v>
      </c>
      <c r="FL3" s="35" t="s">
        <v>17</v>
      </c>
      <c r="FM3" s="35" t="s">
        <v>72</v>
      </c>
      <c r="FN3" s="35" t="s">
        <v>67</v>
      </c>
      <c r="FO3" s="35" t="s">
        <v>72</v>
      </c>
      <c r="FP3" s="35" t="s">
        <v>73</v>
      </c>
      <c r="FQ3" s="35" t="s">
        <v>67</v>
      </c>
      <c r="FR3" s="35" t="s">
        <v>91</v>
      </c>
      <c r="FS3" s="35" t="s">
        <v>92</v>
      </c>
      <c r="FT3" s="32" t="s">
        <v>93</v>
      </c>
      <c r="FV3" s="32" t="s">
        <v>82</v>
      </c>
      <c r="FW3" s="32" t="s">
        <v>9</v>
      </c>
      <c r="FX3" s="32" t="s">
        <v>16</v>
      </c>
      <c r="FY3" s="32" t="s">
        <v>68</v>
      </c>
      <c r="FZ3" s="32" t="s">
        <v>69</v>
      </c>
      <c r="GA3" s="32" t="s">
        <v>70</v>
      </c>
      <c r="GB3" s="32" t="s">
        <v>12</v>
      </c>
      <c r="GC3" s="32" t="s">
        <v>17</v>
      </c>
      <c r="GD3" s="32" t="s">
        <v>71</v>
      </c>
      <c r="GE3" s="32" t="s">
        <v>72</v>
      </c>
      <c r="GF3" s="32" t="s">
        <v>73</v>
      </c>
      <c r="GG3" s="32" t="s">
        <v>65</v>
      </c>
      <c r="GH3" s="32" t="s">
        <v>66</v>
      </c>
      <c r="GI3" s="32" t="s">
        <v>74</v>
      </c>
      <c r="GJ3" s="32" t="s">
        <v>83</v>
      </c>
      <c r="GK3" s="32" t="s">
        <v>94</v>
      </c>
      <c r="GL3" s="39"/>
      <c r="GM3" s="37" t="s">
        <v>9</v>
      </c>
      <c r="GN3" s="37" t="s">
        <v>76</v>
      </c>
      <c r="GO3" s="37" t="s">
        <v>77</v>
      </c>
      <c r="GP3" s="87" t="s">
        <v>67</v>
      </c>
      <c r="GQ3" s="37" t="s">
        <v>78</v>
      </c>
      <c r="GR3" s="37" t="s">
        <v>16</v>
      </c>
      <c r="GS3" s="37" t="s">
        <v>69</v>
      </c>
      <c r="GT3" s="37" t="s">
        <v>13</v>
      </c>
      <c r="GU3" s="37" t="s">
        <v>12</v>
      </c>
      <c r="GV3" s="37" t="s">
        <v>14</v>
      </c>
      <c r="GW3" s="37" t="s">
        <v>71</v>
      </c>
      <c r="GX3" s="87" t="s">
        <v>67</v>
      </c>
      <c r="GY3" s="37" t="s">
        <v>12</v>
      </c>
      <c r="GZ3" s="37" t="s">
        <v>14</v>
      </c>
      <c r="HA3" s="37" t="s">
        <v>71</v>
      </c>
      <c r="HB3" s="37" t="s">
        <v>17</v>
      </c>
      <c r="HC3" s="37" t="s">
        <v>72</v>
      </c>
      <c r="HD3" s="87" t="s">
        <v>67</v>
      </c>
      <c r="HE3" s="37" t="s">
        <v>72</v>
      </c>
      <c r="HF3" s="37" t="s">
        <v>73</v>
      </c>
      <c r="HG3" s="37" t="s">
        <v>67</v>
      </c>
      <c r="HH3" s="37" t="s">
        <v>91</v>
      </c>
      <c r="HI3" s="85" t="s">
        <v>95</v>
      </c>
      <c r="HJ3" s="85" t="s">
        <v>96</v>
      </c>
      <c r="HK3" s="37" t="s">
        <v>16</v>
      </c>
      <c r="HL3" s="37" t="s">
        <v>112</v>
      </c>
      <c r="HM3" s="37" t="s">
        <v>92</v>
      </c>
      <c r="HO3" s="104" t="s">
        <v>97</v>
      </c>
      <c r="HP3" s="73">
        <v>1</v>
      </c>
      <c r="HQ3" s="73">
        <v>2</v>
      </c>
      <c r="HR3" s="73">
        <v>3</v>
      </c>
      <c r="HS3" s="73">
        <v>4</v>
      </c>
      <c r="HT3" s="73"/>
      <c r="HU3" s="73">
        <v>5</v>
      </c>
      <c r="HV3" s="73">
        <v>6</v>
      </c>
      <c r="HW3" s="73"/>
      <c r="HX3" s="73">
        <v>7</v>
      </c>
      <c r="HY3" s="73">
        <v>8</v>
      </c>
      <c r="HZ3" s="73"/>
      <c r="IA3" s="73">
        <v>9</v>
      </c>
      <c r="IB3" s="73"/>
      <c r="IC3" s="73">
        <v>10</v>
      </c>
      <c r="ID3" s="73">
        <v>11</v>
      </c>
      <c r="IE3" s="73"/>
      <c r="IF3" s="73">
        <v>12</v>
      </c>
      <c r="IG3" s="73">
        <v>13</v>
      </c>
      <c r="IH3" s="73"/>
      <c r="II3" s="73">
        <v>14</v>
      </c>
    </row>
    <row r="4" spans="1:244" s="32" customFormat="1" x14ac:dyDescent="0.25">
      <c r="A4" s="66"/>
      <c r="B4" s="41"/>
      <c r="C4" s="42" t="s">
        <v>55</v>
      </c>
      <c r="D4" s="42" t="s">
        <v>56</v>
      </c>
      <c r="E4" s="42" t="s">
        <v>57</v>
      </c>
      <c r="F4" s="42" t="s">
        <v>58</v>
      </c>
      <c r="G4" s="42" t="s">
        <v>98</v>
      </c>
      <c r="H4" s="42" t="s">
        <v>60</v>
      </c>
      <c r="I4" s="42" t="s">
        <v>61</v>
      </c>
      <c r="J4" s="42" t="s">
        <v>62</v>
      </c>
      <c r="K4" s="42" t="s">
        <v>63</v>
      </c>
      <c r="L4" s="42" t="s">
        <v>64</v>
      </c>
      <c r="M4" s="42" t="s">
        <v>65</v>
      </c>
      <c r="N4" s="42" t="s">
        <v>66</v>
      </c>
      <c r="O4" s="42" t="s">
        <v>99</v>
      </c>
      <c r="P4" s="42" t="s">
        <v>67</v>
      </c>
      <c r="Q4" s="32" t="s">
        <v>100</v>
      </c>
      <c r="R4" s="26"/>
      <c r="S4" s="23"/>
      <c r="T4" s="23"/>
      <c r="U4" s="23"/>
      <c r="V4" s="23"/>
      <c r="W4" s="23"/>
      <c r="X4" s="23"/>
      <c r="Y4" s="23"/>
      <c r="Z4" s="23"/>
      <c r="AA4" s="23"/>
      <c r="AB4" s="23"/>
      <c r="AC4" s="43"/>
      <c r="AD4" s="26"/>
      <c r="AE4" s="23"/>
      <c r="AF4" s="23"/>
      <c r="AG4" s="23"/>
      <c r="AH4" s="23"/>
      <c r="AI4" s="23"/>
      <c r="AJ4" s="23"/>
      <c r="AK4" s="23"/>
      <c r="AL4" s="23"/>
      <c r="AM4" s="23"/>
      <c r="AN4" s="43"/>
      <c r="AO4" s="26"/>
      <c r="AP4" s="23"/>
      <c r="AQ4" s="23"/>
      <c r="AR4" s="23"/>
      <c r="AS4" s="23"/>
      <c r="AT4" s="23"/>
      <c r="AU4" s="23"/>
      <c r="AV4" s="23"/>
      <c r="AW4" s="23"/>
      <c r="AX4" s="23"/>
      <c r="AY4" s="43"/>
      <c r="AZ4" s="26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43"/>
      <c r="BN4" s="27" t="s">
        <v>101</v>
      </c>
      <c r="BO4" s="44"/>
      <c r="BP4" s="44"/>
      <c r="BQ4" s="45"/>
      <c r="BR4" s="44" t="s">
        <v>102</v>
      </c>
      <c r="BS4" s="44"/>
      <c r="BT4" s="44"/>
      <c r="BU4" s="44"/>
      <c r="BV4" s="44"/>
      <c r="BW4" s="44"/>
      <c r="BX4" s="44"/>
      <c r="BY4" s="45"/>
      <c r="BZ4" s="44" t="s">
        <v>103</v>
      </c>
      <c r="CA4" s="44"/>
      <c r="CB4" s="44"/>
      <c r="CC4" s="44"/>
      <c r="CD4" s="44"/>
      <c r="CE4" s="44"/>
      <c r="CF4" s="44" t="s">
        <v>104</v>
      </c>
      <c r="CG4" s="44"/>
      <c r="CH4" s="46"/>
      <c r="CJ4" s="31"/>
      <c r="CK4" s="31"/>
      <c r="CL4" s="31"/>
      <c r="DE4" s="33" t="s">
        <v>101</v>
      </c>
      <c r="DF4" s="33"/>
      <c r="DG4" s="33"/>
      <c r="DH4" s="33"/>
      <c r="DI4" s="33" t="s">
        <v>102</v>
      </c>
      <c r="DJ4" s="33"/>
      <c r="DK4" s="33"/>
      <c r="DL4" s="33"/>
      <c r="DM4" s="33"/>
      <c r="DN4" s="33"/>
      <c r="DO4" s="33"/>
      <c r="DP4" s="33"/>
      <c r="DQ4" s="33" t="s">
        <v>103</v>
      </c>
      <c r="DR4" s="33"/>
      <c r="DS4" s="33"/>
      <c r="DT4" s="33"/>
      <c r="DU4" s="33"/>
      <c r="DV4" s="33"/>
      <c r="DW4" s="33" t="s">
        <v>104</v>
      </c>
      <c r="DX4" s="33"/>
      <c r="DY4" s="33"/>
      <c r="EA4" s="31"/>
      <c r="EB4" s="31"/>
      <c r="EC4" s="31"/>
      <c r="ED4" s="31"/>
      <c r="EW4" s="35" t="s">
        <v>101</v>
      </c>
      <c r="EX4" s="35"/>
      <c r="EY4" s="35"/>
      <c r="EZ4" s="35"/>
      <c r="FA4" s="35" t="s">
        <v>102</v>
      </c>
      <c r="FB4" s="35"/>
      <c r="FC4" s="35"/>
      <c r="FD4" s="35"/>
      <c r="FE4" s="35"/>
      <c r="FF4" s="35"/>
      <c r="FG4" s="35"/>
      <c r="FH4" s="35"/>
      <c r="FI4" s="35" t="s">
        <v>103</v>
      </c>
      <c r="FJ4" s="35"/>
      <c r="FK4" s="35"/>
      <c r="FL4" s="35"/>
      <c r="FM4" s="35"/>
      <c r="FN4" s="35"/>
      <c r="FO4" s="35" t="s">
        <v>104</v>
      </c>
      <c r="FP4" s="35"/>
      <c r="FQ4" s="35"/>
      <c r="FR4" s="35"/>
      <c r="FS4" s="35"/>
      <c r="GL4" s="39"/>
      <c r="GM4" s="37" t="s">
        <v>101</v>
      </c>
      <c r="GN4" s="37"/>
      <c r="GO4" s="37"/>
      <c r="GP4" s="87"/>
      <c r="GQ4" s="37" t="s">
        <v>102</v>
      </c>
      <c r="GR4" s="37"/>
      <c r="GS4" s="37"/>
      <c r="GT4" s="37"/>
      <c r="GU4" s="37"/>
      <c r="GV4" s="37"/>
      <c r="GW4" s="37"/>
      <c r="GX4" s="87"/>
      <c r="GY4" s="37" t="s">
        <v>103</v>
      </c>
      <c r="GZ4" s="37"/>
      <c r="HA4" s="37"/>
      <c r="HB4" s="37"/>
      <c r="HC4" s="37"/>
      <c r="HD4" s="87"/>
      <c r="HE4" s="37" t="s">
        <v>104</v>
      </c>
      <c r="HF4" s="37"/>
      <c r="HG4" s="37"/>
      <c r="HH4" s="47"/>
      <c r="HI4" s="47"/>
      <c r="HJ4" s="47"/>
      <c r="HK4" s="47"/>
      <c r="HL4" s="47"/>
      <c r="HM4" s="47"/>
      <c r="HP4" s="73" t="s">
        <v>105</v>
      </c>
      <c r="HQ4" s="73" t="s">
        <v>105</v>
      </c>
      <c r="HR4" s="73" t="s">
        <v>120</v>
      </c>
      <c r="HS4" s="73" t="s">
        <v>105</v>
      </c>
      <c r="HT4" s="73"/>
      <c r="HU4" s="73" t="s">
        <v>121</v>
      </c>
      <c r="HV4" s="73" t="s">
        <v>106</v>
      </c>
      <c r="HW4" s="73"/>
      <c r="HX4" s="73" t="s">
        <v>107</v>
      </c>
      <c r="HY4" s="73" t="s">
        <v>107</v>
      </c>
      <c r="HZ4" s="79"/>
      <c r="IA4" s="73" t="s">
        <v>108</v>
      </c>
      <c r="IB4" s="73"/>
      <c r="IC4" s="73" t="s">
        <v>109</v>
      </c>
      <c r="ID4" s="80" t="s">
        <v>109</v>
      </c>
      <c r="IE4" s="81"/>
      <c r="IF4" s="73" t="s">
        <v>110</v>
      </c>
      <c r="IG4" s="73" t="s">
        <v>110</v>
      </c>
      <c r="IH4" s="73"/>
      <c r="II4" s="73" t="s">
        <v>111</v>
      </c>
    </row>
    <row r="5" spans="1:244" s="51" customFormat="1" x14ac:dyDescent="0.25">
      <c r="A5" s="48" t="s">
        <v>122</v>
      </c>
      <c r="B5" s="49"/>
      <c r="C5" s="50">
        <v>51.63</v>
      </c>
      <c r="D5" s="50">
        <v>0</v>
      </c>
      <c r="E5" s="50">
        <v>7.39</v>
      </c>
      <c r="F5" s="50"/>
      <c r="G5" s="50">
        <v>7.55</v>
      </c>
      <c r="H5" s="50">
        <v>18.09</v>
      </c>
      <c r="I5" s="50">
        <v>12.32</v>
      </c>
      <c r="J5" s="50">
        <v>0.17</v>
      </c>
      <c r="K5" s="50">
        <v>0.61</v>
      </c>
      <c r="L5" s="50">
        <v>0</v>
      </c>
      <c r="M5" s="50">
        <v>0</v>
      </c>
      <c r="N5" s="50">
        <v>0</v>
      </c>
      <c r="O5" s="50">
        <v>0</v>
      </c>
      <c r="P5" s="50">
        <f>SUM(C5:O5)</f>
        <v>97.760000000000019</v>
      </c>
      <c r="R5" s="52">
        <f t="shared" ref="R5:AC7" si="0">C5/C$3</f>
        <v>0.85935419440745675</v>
      </c>
      <c r="S5" s="53">
        <f t="shared" si="0"/>
        <v>0</v>
      </c>
      <c r="T5" s="53">
        <f t="shared" si="0"/>
        <v>7.2478550664370367E-2</v>
      </c>
      <c r="U5" s="53">
        <f t="shared" si="0"/>
        <v>0</v>
      </c>
      <c r="V5" s="53">
        <f t="shared" si="0"/>
        <v>0.1050946547884187</v>
      </c>
      <c r="W5" s="53">
        <f t="shared" si="0"/>
        <v>0.44877201686926316</v>
      </c>
      <c r="X5" s="53">
        <f t="shared" si="0"/>
        <v>0.21968616262482168</v>
      </c>
      <c r="Y5" s="53">
        <f t="shared" si="0"/>
        <v>2.3963913166055823E-3</v>
      </c>
      <c r="Z5" s="53">
        <f t="shared" si="0"/>
        <v>9.8420432727214062E-3</v>
      </c>
      <c r="AA5" s="53">
        <f t="shared" si="0"/>
        <v>0</v>
      </c>
      <c r="AB5" s="53">
        <f t="shared" si="0"/>
        <v>0</v>
      </c>
      <c r="AC5" s="54">
        <f t="shared" si="0"/>
        <v>0</v>
      </c>
      <c r="AD5" s="52">
        <f>R5*2</f>
        <v>1.7187083888149135</v>
      </c>
      <c r="AE5" s="53">
        <f t="shared" ref="AE5:AE7" si="1">S5*2</f>
        <v>0</v>
      </c>
      <c r="AF5" s="53">
        <f t="shared" ref="AF5:AG7" si="2">T5*3</f>
        <v>0.2174356519931111</v>
      </c>
      <c r="AG5" s="53">
        <f t="shared" si="2"/>
        <v>0</v>
      </c>
      <c r="AH5" s="53">
        <f t="shared" ref="AH5:AM7" si="3">V5</f>
        <v>0.1050946547884187</v>
      </c>
      <c r="AI5" s="53">
        <f t="shared" si="3"/>
        <v>0.44877201686926316</v>
      </c>
      <c r="AJ5" s="53">
        <f t="shared" si="3"/>
        <v>0.21968616262482168</v>
      </c>
      <c r="AK5" s="53">
        <f t="shared" si="3"/>
        <v>2.3963913166055823E-3</v>
      </c>
      <c r="AL5" s="53">
        <f t="shared" si="3"/>
        <v>9.8420432727214062E-3</v>
      </c>
      <c r="AM5" s="53">
        <f t="shared" si="3"/>
        <v>0</v>
      </c>
      <c r="AN5" s="54">
        <f t="shared" ref="AN5:AN7" si="4">SUM(AD5:AM5)</f>
        <v>2.7219353096798553</v>
      </c>
      <c r="AO5" s="52">
        <f t="shared" ref="AO5:AX7" si="5">AD5*23/$AN5</f>
        <v>14.522862759509309</v>
      </c>
      <c r="AP5" s="53">
        <f t="shared" si="5"/>
        <v>0</v>
      </c>
      <c r="AQ5" s="53">
        <f t="shared" si="5"/>
        <v>1.8373030314338212</v>
      </c>
      <c r="AR5" s="53">
        <f t="shared" si="5"/>
        <v>0</v>
      </c>
      <c r="AS5" s="53">
        <f t="shared" si="5"/>
        <v>0.88803618937509954</v>
      </c>
      <c r="AT5" s="53">
        <f t="shared" si="5"/>
        <v>3.792065282112477</v>
      </c>
      <c r="AU5" s="53">
        <f t="shared" si="5"/>
        <v>1.856319554106225</v>
      </c>
      <c r="AV5" s="53">
        <f t="shared" si="5"/>
        <v>2.0249195521259859E-2</v>
      </c>
      <c r="AW5" s="53">
        <f t="shared" si="5"/>
        <v>8.3163987941806322E-2</v>
      </c>
      <c r="AX5" s="53">
        <f t="shared" si="5"/>
        <v>0</v>
      </c>
      <c r="AY5" s="54">
        <f t="shared" ref="AY5:AY7" si="6">SUM(AO5:AX5)</f>
        <v>22.999999999999996</v>
      </c>
      <c r="AZ5" s="52">
        <f t="shared" ref="AZ5:BA7" si="7">AO5/2</f>
        <v>7.2614313797546544</v>
      </c>
      <c r="BA5" s="53">
        <f t="shared" si="7"/>
        <v>0</v>
      </c>
      <c r="BB5" s="53">
        <f t="shared" ref="BB5:BC7" si="8">AQ5*2/3</f>
        <v>1.2248686876225474</v>
      </c>
      <c r="BC5" s="53">
        <f t="shared" si="8"/>
        <v>0</v>
      </c>
      <c r="BD5" s="53">
        <f t="shared" ref="BD5:BG7" si="9">AS5</f>
        <v>0.88803618937509954</v>
      </c>
      <c r="BE5" s="53">
        <f t="shared" si="9"/>
        <v>3.792065282112477</v>
      </c>
      <c r="BF5" s="53">
        <f t="shared" si="9"/>
        <v>1.856319554106225</v>
      </c>
      <c r="BG5" s="53">
        <f t="shared" si="9"/>
        <v>2.0249195521259859E-2</v>
      </c>
      <c r="BH5" s="53">
        <f t="shared" ref="BH5:BI7" si="10">AW5*2</f>
        <v>0.16632797588361264</v>
      </c>
      <c r="BI5" s="53">
        <f t="shared" si="10"/>
        <v>0</v>
      </c>
      <c r="BJ5" s="53">
        <f t="shared" ref="BJ5:BK7" si="11">AB5*23/$AN5</f>
        <v>0</v>
      </c>
      <c r="BK5" s="53">
        <f t="shared" si="11"/>
        <v>0</v>
      </c>
      <c r="BL5" s="53">
        <f t="shared" ref="BL5:BL7" si="12">2-BJ5-BK5</f>
        <v>2</v>
      </c>
      <c r="BM5" s="54">
        <f t="shared" ref="BM5:BM7" si="13">SUM(AZ5:BI5)</f>
        <v>15.209298264375876</v>
      </c>
      <c r="BN5" s="55">
        <f>AZ5</f>
        <v>7.2614313797546544</v>
      </c>
      <c r="BO5" s="56">
        <f>IF(BN5&lt;8,IF((8-BN5)&lt;BB5,(8-BN5),BB5),0)</f>
        <v>0.73856862024534564</v>
      </c>
      <c r="BP5" s="56">
        <f>IF((BO5+BN5)&lt;8,8-(BO5+BN5),0)</f>
        <v>0</v>
      </c>
      <c r="BQ5" s="56">
        <f>SUM(BN5:BP5)</f>
        <v>8</v>
      </c>
      <c r="BR5" s="56">
        <f>IF((BB5-BO5)&gt;0,(BB5-BO5),0)</f>
        <v>0.48630006737720177</v>
      </c>
      <c r="BS5" s="56">
        <f>IF(BR5+BA5&lt;5,BA5,5-BR5)</f>
        <v>0</v>
      </c>
      <c r="BT5" s="56">
        <f>IF(BR5+BS5+BC5&lt;5,BC5,5-BS5-BR5)</f>
        <v>0</v>
      </c>
      <c r="BU5" s="56"/>
      <c r="BV5" s="56">
        <f>IF(SUM(BR5:BU5)&lt;5,IF((SUM(BR5:BU5)+BE5)&lt;5,BE5,5-SUM(BR5:BU5)),0)</f>
        <v>3.792065282112477</v>
      </c>
      <c r="BW5" s="56">
        <f>IF(SUM(BR5:BV5)&lt;5,IF((SUM(BR5:BV5)+BD5)&lt;5,BD5,5-SUM(BR5:BV5)),0)</f>
        <v>0.72163465051032105</v>
      </c>
      <c r="BX5" s="56">
        <f>IF(SUM(BR5:BW5)&lt;5,IF((SUM(BR5:BW5)+BG5)&lt;5,BG5,5-SUM(BR5:BW5)),0)</f>
        <v>0</v>
      </c>
      <c r="BY5" s="56">
        <f>SUM(BR5:BX5)</f>
        <v>5</v>
      </c>
      <c r="BZ5" s="56">
        <f>IF((BE5-BV5)&gt;0,(BE5-BV5),0)</f>
        <v>0</v>
      </c>
      <c r="CA5" s="56">
        <f>IF((BD5-BW5)&gt;0,(BD5-BW5),0)</f>
        <v>0.16640153886477849</v>
      </c>
      <c r="CB5" s="56">
        <f>IF((BG5-BX5)&gt;0,(BG5-BX5),0)</f>
        <v>2.0249195521259859E-2</v>
      </c>
      <c r="CC5" s="56">
        <f>BF5</f>
        <v>1.856319554106225</v>
      </c>
      <c r="CD5" s="57">
        <f t="shared" ref="CD5:CD7" si="14">IF((SUM(BZ5:CC5)&lt;2),IF((2-(BZ5+CA5+CB5+CC5))&lt;BF5,(2-SUM(BZ5:CC5)),BF5),0)</f>
        <v>0</v>
      </c>
      <c r="CE5" s="56">
        <f>SUM(BZ5:CD5)</f>
        <v>2.0429702884922634</v>
      </c>
      <c r="CF5" s="56">
        <f>BH5-CD5</f>
        <v>0.16632797588361264</v>
      </c>
      <c r="CG5" s="56">
        <f>BI5</f>
        <v>0</v>
      </c>
      <c r="CH5" s="58">
        <f>SUM(CF5:CG5)</f>
        <v>0.16632797588361264</v>
      </c>
      <c r="CJ5" s="51">
        <f>8/AZ5</f>
        <v>1.1017111615630664</v>
      </c>
      <c r="CK5" s="51">
        <f>16/SUM(AZ5:BI5)</f>
        <v>1.0519880484871647</v>
      </c>
      <c r="CL5" s="51">
        <f>15/SUM(AZ5:BG5)</f>
        <v>0.99714349708414063</v>
      </c>
      <c r="CN5" s="51">
        <f>IF(MIN(CJ5:CL5)&lt;1,MIN(CJ5:CL5),1)</f>
        <v>0.99714349708414063</v>
      </c>
      <c r="CO5" s="51">
        <f t="shared" ref="CO5:DA7" si="15">$CN5*AZ5</f>
        <v>7.2406890798450725</v>
      </c>
      <c r="CP5" s="51">
        <f t="shared" si="15"/>
        <v>0</v>
      </c>
      <c r="CQ5" s="51">
        <f t="shared" si="15"/>
        <v>1.2213698466448089</v>
      </c>
      <c r="CR5" s="51">
        <f t="shared" si="15"/>
        <v>0</v>
      </c>
      <c r="CS5" s="51">
        <f t="shared" si="15"/>
        <v>0.88549951141076089</v>
      </c>
      <c r="CT5" s="51">
        <f t="shared" si="15"/>
        <v>3.7812332365769934</v>
      </c>
      <c r="CU5" s="51">
        <f t="shared" si="15"/>
        <v>1.8510169718871539</v>
      </c>
      <c r="CV5" s="51">
        <f t="shared" si="15"/>
        <v>2.0191353635209575E-2</v>
      </c>
      <c r="CW5" s="51">
        <f t="shared" si="15"/>
        <v>0.16585285953551213</v>
      </c>
      <c r="CX5" s="51">
        <f t="shared" si="15"/>
        <v>0</v>
      </c>
      <c r="CY5" s="51">
        <f t="shared" si="15"/>
        <v>0</v>
      </c>
      <c r="CZ5" s="51">
        <f t="shared" si="15"/>
        <v>0</v>
      </c>
      <c r="DA5" s="51">
        <f t="shared" si="15"/>
        <v>1.9942869941682813</v>
      </c>
      <c r="DB5" s="51">
        <f>CO5*2+CP5*2+CQ5*3/2+CR5*3/2+CS5+CT5+CU5+CV5+CW5/2+CX5/2</f>
        <v>22.934300432935235</v>
      </c>
      <c r="DC5" s="51">
        <f>(23-DB5)*2</f>
        <v>0.13139913412953064</v>
      </c>
      <c r="DD5" s="51" t="str">
        <f>IF(DC5&gt;BD5,"FAIL","")</f>
        <v/>
      </c>
      <c r="DE5" s="59">
        <f>CO5</f>
        <v>7.2406890798450725</v>
      </c>
      <c r="DF5" s="59">
        <f>IF(DE5&lt;8,IF((8-DE5)&lt;CQ5,(8-DE5),CQ5),0)</f>
        <v>0.75931092015492752</v>
      </c>
      <c r="DG5" s="59">
        <f>IF((DF5+DE5)&lt;8,IF((8-DF5-DE5)&gt;CP5,CP5,(8-(DF5+DE5))),0)</f>
        <v>0</v>
      </c>
      <c r="DH5" s="59">
        <f>SUM(DE5:DG5)</f>
        <v>8</v>
      </c>
      <c r="DI5" s="59">
        <f>IF((CQ5-DF5)&gt;0,(CQ5-DF5),0)</f>
        <v>0.46205892648988134</v>
      </c>
      <c r="DJ5" s="59">
        <f>IF(DI5+CP5&lt;5,CP5,5-DI5)</f>
        <v>0</v>
      </c>
      <c r="DK5" s="59">
        <f>IF(DI5+DJ5+CR5&lt;5,CR5,5-DJ5-DI5)</f>
        <v>0</v>
      </c>
      <c r="DL5" s="59">
        <f>DC5</f>
        <v>0.13139913412953064</v>
      </c>
      <c r="DM5" s="59">
        <f>IF(SUM(DI5:DL5)&lt;5,IF((SUM(DI5:DL5)+CT5)&lt;5,CT5,5-SUM(DI5:DL5)),0)</f>
        <v>3.7812332365769934</v>
      </c>
      <c r="DN5" s="59">
        <f>IF(SUM(DI5:DM5)&lt;5,IF((SUM(DI5:DM5)+CS5-DC5)&lt;5,CS5-DC5,5-SUM(DI5:DM5)),0)</f>
        <v>0.62530870280359441</v>
      </c>
      <c r="DO5" s="59">
        <f>IF(SUM(DI5:DN5)&lt;5,IF((SUM(DI5:DN5)+CV5)&lt;5,CV5,5-SUM(DI5:DN5)),0)</f>
        <v>0</v>
      </c>
      <c r="DP5" s="59">
        <f>SUM(DI5:DO5)</f>
        <v>5</v>
      </c>
      <c r="DQ5" s="59">
        <f>IF((CT5-DM5)&gt;0,(CT5-DM5),0)</f>
        <v>0</v>
      </c>
      <c r="DR5" s="59">
        <f>IF((CS5-DN5-DL5)&gt;0,(CS5-DN5-DL5),0)</f>
        <v>0.12879167447763584</v>
      </c>
      <c r="DS5" s="59">
        <f>IF((CV5-DO5)&gt;0,(CV5-DO5),0)</f>
        <v>2.0191353635209575E-2</v>
      </c>
      <c r="DT5" s="59">
        <f>CU5</f>
        <v>1.8510169718871539</v>
      </c>
      <c r="DU5" s="60">
        <f t="shared" ref="DU5:DU7" si="16">IF((SUM(DQ5:DT5)&lt;2),IF((2-(DQ5+DR5+DS5+DT5))&lt;CW5,(2-SUM(DQ5:DT5)),CW5),0)</f>
        <v>0</v>
      </c>
      <c r="DV5" s="59">
        <f>SUM(DQ5:DU5)</f>
        <v>1.9999999999999993</v>
      </c>
      <c r="DW5" s="59">
        <f>CW5-DU5</f>
        <v>0.16585285953551213</v>
      </c>
      <c r="DX5" s="59">
        <f>CY5</f>
        <v>0</v>
      </c>
      <c r="DY5" s="59">
        <f>SUM(DW5:DX5)</f>
        <v>0.16585285953551213</v>
      </c>
      <c r="EA5" s="34">
        <f>8/(AZ5+BB5)</f>
        <v>0.94269586704262043</v>
      </c>
      <c r="EB5" s="61">
        <f>15/SUM(AZ5:BH5)</f>
        <v>0.986238795456717</v>
      </c>
      <c r="EC5" s="61">
        <f>13/SUM(AZ5:BG5)</f>
        <v>0.86419103080625526</v>
      </c>
      <c r="ED5" s="61">
        <f>23/(23+(0.5*BD5))</f>
        <v>0.98106049513806826</v>
      </c>
      <c r="EF5" s="51">
        <f>MAX(EA5:ED5)</f>
        <v>0.986238795456717</v>
      </c>
      <c r="EG5" s="51">
        <f t="shared" ref="EG5:ES7" si="17">$EF5*AZ5</f>
        <v>7.161505337260837</v>
      </c>
      <c r="EH5" s="51">
        <f t="shared" si="17"/>
        <v>0</v>
      </c>
      <c r="EI5" s="51">
        <f t="shared" si="17"/>
        <v>1.208013019073511</v>
      </c>
      <c r="EJ5" s="51">
        <f t="shared" si="17"/>
        <v>0</v>
      </c>
      <c r="EK5" s="51">
        <f t="shared" si="17"/>
        <v>0.87581574173127119</v>
      </c>
      <c r="EL5" s="51">
        <f t="shared" si="17"/>
        <v>3.7398818961238449</v>
      </c>
      <c r="EM5" s="51">
        <f t="shared" si="17"/>
        <v>1.8307743610244733</v>
      </c>
      <c r="EN5" s="51">
        <f t="shared" si="17"/>
        <v>1.9970542199854873E-2</v>
      </c>
      <c r="EO5" s="51">
        <f t="shared" si="17"/>
        <v>0.16403910258620802</v>
      </c>
      <c r="EP5" s="51">
        <f t="shared" si="17"/>
        <v>0</v>
      </c>
      <c r="EQ5" s="51">
        <f t="shared" si="17"/>
        <v>0</v>
      </c>
      <c r="ER5" s="51">
        <f t="shared" si="17"/>
        <v>0</v>
      </c>
      <c r="ES5" s="51">
        <f t="shared" si="17"/>
        <v>1.972477590913434</v>
      </c>
      <c r="ET5" s="51">
        <f>EG5*2+EH5*2+EI5*3/2+EJ5*3/2+EK5+EL5+EM5+EN5+EO5/2+EP5/2</f>
        <v>22.683492295504486</v>
      </c>
      <c r="EU5" s="51">
        <f>(23-ET5)*2</f>
        <v>0.63301540899102804</v>
      </c>
      <c r="EV5" s="51" t="str">
        <f>IF(EU5&gt;BD5,"FAIL","")</f>
        <v/>
      </c>
      <c r="EW5" s="62">
        <f>EG5</f>
        <v>7.161505337260837</v>
      </c>
      <c r="EX5" s="62">
        <f>IF(EW5&lt;8,IF((8-EW5)&lt;EI5,(8-EW5),EI5),0)</f>
        <v>0.83849466273916295</v>
      </c>
      <c r="EY5" s="62">
        <f>IF((EX5+EW5)&lt;8,IF((8-EX5-EW5)&gt;EH5,EH5,(8-(EX5+EW5))),0)</f>
        <v>0</v>
      </c>
      <c r="EZ5" s="62">
        <f>SUM(EW5:EY5)</f>
        <v>8</v>
      </c>
      <c r="FA5" s="62">
        <f>IF((EI5-EX5)&gt;0,(EI5-EX5),0)</f>
        <v>0.36951835633434804</v>
      </c>
      <c r="FB5" s="62">
        <f>IF(FA5+EH5&lt;5,EH5,5-FA5)</f>
        <v>0</v>
      </c>
      <c r="FC5" s="62">
        <f>IF(FA5+FB5+EJ5&lt;5,EJ5,5-FB5-FA5)</f>
        <v>0</v>
      </c>
      <c r="FD5" s="62">
        <f>EU5</f>
        <v>0.63301540899102804</v>
      </c>
      <c r="FE5" s="62">
        <f>IF(SUM(FA5:FD5)&lt;5,IF((SUM(FA5:FD5)+EL5)&lt;5,EL5,5-SUM(FA5:FD5)),0)</f>
        <v>3.7398818961238449</v>
      </c>
      <c r="FF5" s="62">
        <f>IF(SUM(FA5:FE5)&lt;5,IF((SUM(FA5:FE5)+(EK5-EU5))&lt;5,EK5-EU5,5-SUM(FA5:FE5)),0)</f>
        <v>0.24280033274024315</v>
      </c>
      <c r="FG5" s="62">
        <f>IF(SUM(FA5:FF5)&lt;5,IF((SUM(FA5:FF5)+EN5)&lt;5,EN5,5-SUM(FA5:FF5)),0)</f>
        <v>1.4784005810535739E-2</v>
      </c>
      <c r="FH5" s="62">
        <f>SUM(FA5:FG5)</f>
        <v>5</v>
      </c>
      <c r="FI5" s="62">
        <f>IF((EL5-FE5)&gt;0,(EL5-FE5),0)</f>
        <v>0</v>
      </c>
      <c r="FJ5" s="62">
        <f>IF((EK5-FF5-FD5)&gt;0,(EK5-FF5-FD5),0)</f>
        <v>0</v>
      </c>
      <c r="FK5" s="62">
        <f>IF((EN5-FG5)&gt;0,(EN5-FG5),0)</f>
        <v>5.1865363893191345E-3</v>
      </c>
      <c r="FL5" s="62">
        <f>EM5</f>
        <v>1.8307743610244733</v>
      </c>
      <c r="FM5" s="63">
        <f>IF((SUM(FI5:FL5)&lt;2),IF((2-(FI5+FJ5+FK5+FL5))&lt;EO5,(2-SUM(FI5:FL5)),EO5),0)</f>
        <v>0.16403910258620802</v>
      </c>
      <c r="FN5" s="62">
        <f>SUM(FI5:FM5)</f>
        <v>2.0000000000000004</v>
      </c>
      <c r="FO5" s="62">
        <f>EO5-FM5</f>
        <v>0</v>
      </c>
      <c r="FP5" s="62">
        <f>EP5</f>
        <v>0</v>
      </c>
      <c r="FQ5" s="62">
        <f>SUM(FO5:FP5)</f>
        <v>0</v>
      </c>
      <c r="FR5" s="62" t="str">
        <f t="shared" ref="FR5:FR7" si="18">IF(OR(FD5&lt;0, FF5&lt;0, FO5&lt;0, FQ5&gt;1), "Fail", "Pass")</f>
        <v>Pass</v>
      </c>
      <c r="FS5" s="62" t="str">
        <f t="shared" ref="FS5:FS7" si="19">IF(FL5&lt;1.5,"Low-Ca",IF(FR5="Fail","Invalid",IF(FB5&gt;0.5,"Kaersutite",IF(FQ5&lt;=0.5,IF(EW5&gt;=6.5,"Mg-Hbl","Tsch"),IF(FA5&lt;FD5,"Mg-Hst","Prg")))))</f>
        <v>Mg-Hbl</v>
      </c>
      <c r="FT5" s="51">
        <f t="shared" ref="FT5:FT7" si="20">FE5/(FE5+FF5+FJ5)</f>
        <v>0.93903597656359017</v>
      </c>
      <c r="FV5" s="51">
        <f t="shared" ref="FV5:FV7" si="21">AVERAGE(EF5,CN5)</f>
        <v>0.99169114627042876</v>
      </c>
      <c r="FW5" s="51">
        <f t="shared" ref="FW5:GI7" si="22">$FV5*AZ5</f>
        <v>7.2010972085529543</v>
      </c>
      <c r="FX5" s="51">
        <f t="shared" si="22"/>
        <v>0</v>
      </c>
      <c r="FY5" s="51">
        <f t="shared" si="22"/>
        <v>1.2146914328591598</v>
      </c>
      <c r="FZ5" s="51">
        <f t="shared" si="22"/>
        <v>0</v>
      </c>
      <c r="GA5" s="51">
        <f t="shared" si="22"/>
        <v>0.88065762657101598</v>
      </c>
      <c r="GB5" s="51">
        <f t="shared" si="22"/>
        <v>3.7605575663504189</v>
      </c>
      <c r="GC5" s="51">
        <f t="shared" si="22"/>
        <v>1.8408956664558134</v>
      </c>
      <c r="GD5" s="51">
        <f t="shared" si="22"/>
        <v>2.0080947917532222E-2</v>
      </c>
      <c r="GE5" s="51">
        <f t="shared" si="22"/>
        <v>0.16494598106086006</v>
      </c>
      <c r="GF5" s="51">
        <f t="shared" si="22"/>
        <v>0</v>
      </c>
      <c r="GG5" s="51">
        <f t="shared" si="22"/>
        <v>0</v>
      </c>
      <c r="GH5" s="51">
        <f t="shared" si="22"/>
        <v>0</v>
      </c>
      <c r="GI5" s="51">
        <f t="shared" si="22"/>
        <v>1.9833822925408575</v>
      </c>
      <c r="GJ5" s="51">
        <f>FW5*2+FX5*2+FY5*3/2+FZ5*3/2+GA5+GB5+GC5+GD5+GE5/2+GF5/2</f>
        <v>22.808896364219859</v>
      </c>
      <c r="GK5" s="51">
        <f>(23-GJ5)*2</f>
        <v>0.38220727156028289</v>
      </c>
      <c r="GL5" s="64"/>
      <c r="GM5" s="84">
        <f>FW5</f>
        <v>7.2010972085529543</v>
      </c>
      <c r="GN5" s="84">
        <f>IF(GM5&lt;8,IF((8-GM5)&lt;FY5,(8-GM5),FY5),0)</f>
        <v>0.79890279144704568</v>
      </c>
      <c r="GO5" s="84">
        <f>IF((GN5+GM5)&lt;8,IF((8-GN5-GM5)&gt;FX5,FX5,(8-(GN5+GM5))),0)</f>
        <v>0</v>
      </c>
      <c r="GP5" s="88">
        <f>SUM(GM5:GO5)</f>
        <v>8</v>
      </c>
      <c r="GQ5" s="84">
        <f>IF((FY5-GN5)&gt;0,(FY5-GN5),0)</f>
        <v>0.41578864141211413</v>
      </c>
      <c r="GR5" s="84">
        <f>IF(GQ5+FX5&lt;5,FX5,5-GQ5)</f>
        <v>0</v>
      </c>
      <c r="GS5" s="84">
        <f>IF(GQ5+GR5+FZ5&lt;5,FZ5,5-GR5-GQ5)</f>
        <v>0</v>
      </c>
      <c r="GT5" s="83">
        <f>GK5</f>
        <v>0.38220727156028289</v>
      </c>
      <c r="GU5" s="84">
        <f>IF(SUM(GQ5:GT5)&lt;5,IF((SUM(GQ5:GT5)+GB5)&lt;5,GB5,5-SUM(GQ5:GT5)),0)</f>
        <v>3.7605575663504189</v>
      </c>
      <c r="GV5" s="84">
        <f>IF(SUM(GQ5:GU5)&lt;5,IF((SUM(GQ5:GU5)+(GA5-GT5))&lt;5,GA5-GT5,5-SUM(GQ5:GU5)),0)</f>
        <v>0.44144652067718404</v>
      </c>
      <c r="GW5" s="84">
        <f>IF(SUM(GQ5:GV5)&lt;5,IF((SUM(GQ5:GV5)+GD5)&lt;5,GD5,5-SUM(GQ5:GV5)),0)</f>
        <v>0</v>
      </c>
      <c r="GX5" s="88">
        <f>SUM(GQ5:GW5)</f>
        <v>5</v>
      </c>
      <c r="GY5" s="84">
        <f>IF((GB5-GU5)&gt;0,(GB5-GU5),0)</f>
        <v>0</v>
      </c>
      <c r="GZ5" s="84">
        <f>IF((GA5-GV5-GT5)&gt;0,(GA5-GV5-GT5),0)</f>
        <v>5.7003834333549053E-2</v>
      </c>
      <c r="HA5" s="84">
        <f>IF((GD5-GW5)&gt;0,(GD5-GW5),0)</f>
        <v>2.0080947917532222E-2</v>
      </c>
      <c r="HB5" s="84">
        <f>GC5</f>
        <v>1.8408956664558134</v>
      </c>
      <c r="HC5" s="84">
        <f>IF((SUM(GY5:HB5)&lt;2),IF((2-(GY5+GZ5+HA5+HB5))&lt;GE5,(2-SUM(GY5:HB5)),GE5),0)</f>
        <v>8.2019551293105453E-2</v>
      </c>
      <c r="HD5" s="88">
        <f>SUM(GY5:HC5)</f>
        <v>2</v>
      </c>
      <c r="HE5" s="84">
        <f>GE5-HC5</f>
        <v>8.2926429767754606E-2</v>
      </c>
      <c r="HF5" s="84">
        <f>GF5</f>
        <v>0</v>
      </c>
      <c r="HG5" s="84">
        <f>SUM(HE5:HF5)</f>
        <v>8.2926429767754606E-2</v>
      </c>
      <c r="HH5" s="65" t="str">
        <f t="shared" ref="HH5:HH7" si="23">IF(OR(GT5&lt;0, GV5&lt;0, HE5&lt;0, HG5&gt;1), "Fail", "Pass")</f>
        <v>Pass</v>
      </c>
      <c r="HI5" s="83">
        <f>(GU5+GY5)/(GY5+GU5+GV5+GZ5)</f>
        <v>0.88296561917371785</v>
      </c>
      <c r="HJ5" s="83">
        <f>HF5+HE5</f>
        <v>8.2926429767754606E-2</v>
      </c>
      <c r="HK5" s="83">
        <f>GR5+GO5</f>
        <v>0</v>
      </c>
      <c r="HL5" s="83">
        <f>GM5</f>
        <v>7.2010972085529543</v>
      </c>
      <c r="HM5" s="47" t="str">
        <f t="shared" ref="HM5:HM8" si="24">IF(HJ5&gt;0.5,IF(HI5&gt;=0.5,IF(HK5&gt;=0.5,"Kaer",IF(HL5&gt;=6.5,"edenite",IF(HL5&gt;=5.5,IF(GQ5&gt;GT5,"Pargasite","MgHst"),"Magnesiosadanagaite"))),IF(HK5&gt;=0.5,"Ferrokaersutite",IF(HL5&gt;=6.5,"Ferro-edenite",IF(HL5&gt;=5.5,IF(GR5&gt;(GU5+GY5),"Ferropargasite","Hastingsite"),"Sadanagaite")))),IF(HI5&gt;=0.5,IF(HL5&gt;=7.5,IF(HI5&gt;=0.9,"Tremolite","Actinolite"),IF(HL5&gt;=6.5,"Mghbl","Tsch")),IF(HL5&gt;=6.5,"Ferroactinolite",IF(HL5&gt;=6.5,"Ferrohornblende","Ferrotschermakite"))))</f>
        <v>Mghbl</v>
      </c>
      <c r="HO5" s="61"/>
      <c r="HP5" s="82"/>
      <c r="HQ5" s="82"/>
      <c r="HR5" s="82"/>
      <c r="HS5" s="82"/>
      <c r="HT5" s="82"/>
      <c r="HU5" s="74"/>
      <c r="HV5" s="74"/>
      <c r="HW5" s="74"/>
      <c r="HX5" s="82"/>
      <c r="HY5" s="78"/>
      <c r="HZ5" s="82"/>
      <c r="IA5" s="78"/>
      <c r="IB5" s="78"/>
      <c r="IC5" s="82"/>
      <c r="ID5" s="78"/>
      <c r="IE5" s="74"/>
      <c r="IF5" s="82"/>
      <c r="IG5" s="82"/>
      <c r="IH5" s="82"/>
      <c r="II5" s="82"/>
      <c r="IJ5" s="61"/>
    </row>
    <row r="6" spans="1:244" s="61" customFormat="1" ht="15.95" customHeight="1" x14ac:dyDescent="0.25">
      <c r="A6" s="90" t="s">
        <v>114</v>
      </c>
      <c r="B6" s="91" t="str">
        <f>HM6</f>
        <v>MgHst</v>
      </c>
      <c r="C6" s="92">
        <v>42.22</v>
      </c>
      <c r="D6" s="92">
        <v>3.42</v>
      </c>
      <c r="E6" s="92">
        <v>11.34</v>
      </c>
      <c r="F6" s="92">
        <v>0.38</v>
      </c>
      <c r="G6" s="92">
        <v>7.55</v>
      </c>
      <c r="H6" s="92">
        <v>15.87</v>
      </c>
      <c r="I6" s="92">
        <v>11.31</v>
      </c>
      <c r="J6" s="92">
        <v>0.09</v>
      </c>
      <c r="K6" s="92">
        <v>2.66</v>
      </c>
      <c r="L6" s="92">
        <v>1.23</v>
      </c>
      <c r="M6" s="92">
        <v>0.35</v>
      </c>
      <c r="N6" s="92">
        <v>0.08</v>
      </c>
      <c r="O6" s="92"/>
      <c r="P6" s="92">
        <v>96.500000000000014</v>
      </c>
      <c r="Q6" s="61">
        <v>1025</v>
      </c>
      <c r="R6" s="93">
        <f t="shared" si="0"/>
        <v>0.70272969374167782</v>
      </c>
      <c r="S6" s="94">
        <f t="shared" si="0"/>
        <v>4.2819581820458238E-2</v>
      </c>
      <c r="T6" s="94">
        <f t="shared" si="0"/>
        <v>0.11121877733883084</v>
      </c>
      <c r="U6" s="94">
        <f t="shared" si="0"/>
        <v>2.5001644845055594E-3</v>
      </c>
      <c r="V6" s="94">
        <f t="shared" si="0"/>
        <v>0.1050946547884187</v>
      </c>
      <c r="W6" s="94">
        <f t="shared" si="0"/>
        <v>0.39369883403621925</v>
      </c>
      <c r="X6" s="94">
        <f t="shared" si="0"/>
        <v>0.20167617689015693</v>
      </c>
      <c r="Y6" s="94">
        <f t="shared" si="0"/>
        <v>1.268677755850014E-3</v>
      </c>
      <c r="Z6" s="94">
        <f t="shared" si="0"/>
        <v>4.2917762467932691E-2</v>
      </c>
      <c r="AA6" s="94">
        <f t="shared" si="0"/>
        <v>1.3056853574287127E-2</v>
      </c>
      <c r="AB6" s="94">
        <f t="shared" si="0"/>
        <v>1.8421052631578946E-2</v>
      </c>
      <c r="AC6" s="95">
        <f t="shared" si="0"/>
        <v>2.2566995768688292E-3</v>
      </c>
      <c r="AD6" s="93">
        <f t="shared" ref="AD6:AD7" si="25">R6*2</f>
        <v>1.4054593874833556</v>
      </c>
      <c r="AE6" s="94">
        <f t="shared" si="1"/>
        <v>8.5639163640916477E-2</v>
      </c>
      <c r="AF6" s="94">
        <f t="shared" si="2"/>
        <v>0.33365633201649253</v>
      </c>
      <c r="AG6" s="94">
        <f t="shared" si="2"/>
        <v>7.5004934535166778E-3</v>
      </c>
      <c r="AH6" s="94">
        <f t="shared" si="3"/>
        <v>0.1050946547884187</v>
      </c>
      <c r="AI6" s="94">
        <f t="shared" si="3"/>
        <v>0.39369883403621925</v>
      </c>
      <c r="AJ6" s="94">
        <f t="shared" si="3"/>
        <v>0.20167617689015693</v>
      </c>
      <c r="AK6" s="94">
        <f t="shared" si="3"/>
        <v>1.268677755850014E-3</v>
      </c>
      <c r="AL6" s="94">
        <f t="shared" si="3"/>
        <v>4.2917762467932691E-2</v>
      </c>
      <c r="AM6" s="94">
        <f t="shared" si="3"/>
        <v>1.3056853574287127E-2</v>
      </c>
      <c r="AN6" s="95">
        <f t="shared" si="4"/>
        <v>2.5899683361071464</v>
      </c>
      <c r="AO6" s="93">
        <f t="shared" si="5"/>
        <v>12.481066066121928</v>
      </c>
      <c r="AP6" s="94">
        <f t="shared" si="5"/>
        <v>0.76051152297160474</v>
      </c>
      <c r="AQ6" s="94">
        <f t="shared" si="5"/>
        <v>2.9630075122516297</v>
      </c>
      <c r="AR6" s="94">
        <f t="shared" si="5"/>
        <v>6.6607512928199303E-2</v>
      </c>
      <c r="AS6" s="94">
        <f t="shared" si="5"/>
        <v>0.93328440600427176</v>
      </c>
      <c r="AT6" s="94">
        <f t="shared" si="5"/>
        <v>3.4962099947690004</v>
      </c>
      <c r="AU6" s="94">
        <f t="shared" si="5"/>
        <v>1.790968639966305</v>
      </c>
      <c r="AV6" s="94">
        <f t="shared" si="5"/>
        <v>1.126638807809084E-2</v>
      </c>
      <c r="AW6" s="94">
        <f t="shared" si="5"/>
        <v>0.38112764662062476</v>
      </c>
      <c r="AX6" s="94">
        <f t="shared" si="5"/>
        <v>0.11595031028834178</v>
      </c>
      <c r="AY6" s="95">
        <f t="shared" si="6"/>
        <v>22.999999999999996</v>
      </c>
      <c r="AZ6" s="93">
        <f t="shared" si="7"/>
        <v>6.2405330330609639</v>
      </c>
      <c r="BA6" s="94">
        <f t="shared" si="7"/>
        <v>0.38025576148580237</v>
      </c>
      <c r="BB6" s="94">
        <f t="shared" si="8"/>
        <v>1.9753383415010866</v>
      </c>
      <c r="BC6" s="94">
        <f t="shared" si="8"/>
        <v>4.4405008618799535E-2</v>
      </c>
      <c r="BD6" s="94">
        <f t="shared" si="9"/>
        <v>0.93328440600427176</v>
      </c>
      <c r="BE6" s="94">
        <f t="shared" si="9"/>
        <v>3.4962099947690004</v>
      </c>
      <c r="BF6" s="94">
        <f t="shared" si="9"/>
        <v>1.790968639966305</v>
      </c>
      <c r="BG6" s="94">
        <f t="shared" si="9"/>
        <v>1.126638807809084E-2</v>
      </c>
      <c r="BH6" s="94">
        <f t="shared" si="10"/>
        <v>0.76225529324124952</v>
      </c>
      <c r="BI6" s="94">
        <f t="shared" si="10"/>
        <v>0.23190062057668356</v>
      </c>
      <c r="BJ6" s="94">
        <f t="shared" si="11"/>
        <v>0.16358663718767102</v>
      </c>
      <c r="BK6" s="94">
        <f t="shared" si="11"/>
        <v>2.0040434295809789E-2</v>
      </c>
      <c r="BL6" s="94">
        <f t="shared" si="12"/>
        <v>1.8163729285165191</v>
      </c>
      <c r="BM6" s="95">
        <f t="shared" si="13"/>
        <v>15.866417487302254</v>
      </c>
      <c r="BN6" s="96">
        <f t="shared" ref="BN6:BN7" si="26">AZ6</f>
        <v>6.2405330330609639</v>
      </c>
      <c r="BO6" s="67">
        <f t="shared" ref="BO6:BO7" si="27">IF(BN6&lt;8,IF((8-BN6)&lt;BB6,(8-BN6),BB6),0)</f>
        <v>1.7594669669390361</v>
      </c>
      <c r="BP6" s="67">
        <f t="shared" ref="BP6:BP7" si="28">IF((BO6+BN6)&lt;8,8-(BO6+BN6),0)</f>
        <v>0</v>
      </c>
      <c r="BQ6" s="67">
        <f t="shared" ref="BQ6:BQ7" si="29">SUM(BN6:BP6)</f>
        <v>8</v>
      </c>
      <c r="BR6" s="67">
        <f t="shared" ref="BR6:BR7" si="30">IF((BB6-BO6)&gt;0,(BB6-BO6),0)</f>
        <v>0.21587137456205041</v>
      </c>
      <c r="BS6" s="67">
        <f t="shared" ref="BS6:BS7" si="31">IF(BR6+BA6&lt;5,BA6,5-BR6)</f>
        <v>0.38025576148580237</v>
      </c>
      <c r="BT6" s="67">
        <f t="shared" ref="BT6:BT7" si="32">IF(BR6+BS6+BC6&lt;5,BC6,5-BS6-BR6)</f>
        <v>4.4405008618799535E-2</v>
      </c>
      <c r="BU6" s="67"/>
      <c r="BV6" s="67">
        <f t="shared" ref="BV6:BV7" si="33">IF(SUM(BR6:BU6)&lt;5,IF((SUM(BR6:BU6)+BE6)&lt;5,BE6,5-SUM(BR6:BU6)),0)</f>
        <v>3.4962099947690004</v>
      </c>
      <c r="BW6" s="67">
        <f t="shared" ref="BW6:BW7" si="34">IF(SUM(BR6:BV6)&lt;5,IF((SUM(BR6:BV6)+BD6)&lt;5,BD6,5-SUM(BR6:BV6)),0)</f>
        <v>0.86325786056434772</v>
      </c>
      <c r="BX6" s="67">
        <f t="shared" ref="BX6:BX7" si="35">IF(SUM(BR6:BW6)&lt;5,IF((SUM(BR6:BW6)+BG6)&lt;5,BG6,5-SUM(BR6:BW6)),0)</f>
        <v>0</v>
      </c>
      <c r="BY6" s="67">
        <f t="shared" ref="BY6:BY7" si="36">SUM(BR6:BX6)</f>
        <v>5</v>
      </c>
      <c r="BZ6" s="67">
        <f t="shared" ref="BZ6:BZ7" si="37">IF((BE6-BV6)&gt;0,(BE6-BV6),0)</f>
        <v>0</v>
      </c>
      <c r="CA6" s="67">
        <f t="shared" ref="CA6:CA7" si="38">IF((BD6-BW6)&gt;0,(BD6-BW6),0)</f>
        <v>7.0026545439924037E-2</v>
      </c>
      <c r="CB6" s="67">
        <f t="shared" ref="CB6:CB7" si="39">IF((BG6-BX6)&gt;0,(BG6-BX6),0)</f>
        <v>1.126638807809084E-2</v>
      </c>
      <c r="CC6" s="67">
        <f t="shared" ref="CC6:CC7" si="40">BF6</f>
        <v>1.790968639966305</v>
      </c>
      <c r="CD6" s="57">
        <f t="shared" si="14"/>
        <v>0.12773842651568024</v>
      </c>
      <c r="CE6" s="67">
        <f t="shared" ref="CE6:CE7" si="41">SUM(BZ6:CD6)</f>
        <v>2</v>
      </c>
      <c r="CF6" s="67">
        <f t="shared" ref="CF6:CF7" si="42">BH6-CD6</f>
        <v>0.63451686672556928</v>
      </c>
      <c r="CG6" s="67">
        <f t="shared" ref="CG6:CG7" si="43">BI6</f>
        <v>0.23190062057668356</v>
      </c>
      <c r="CH6" s="68">
        <f t="shared" ref="CH6:CH7" si="44">SUM(CF6:CG6)</f>
        <v>0.86641748730225288</v>
      </c>
      <c r="CJ6" s="61">
        <f t="shared" ref="CJ6:CJ7" si="45">8/AZ6</f>
        <v>1.2819417760658856</v>
      </c>
      <c r="CK6" s="61">
        <f t="shared" ref="CK6:CK7" si="46">16/SUM(AZ6:BI6)</f>
        <v>1.0084191981463144</v>
      </c>
      <c r="CL6" s="61">
        <f t="shared" ref="CL6:CL7" si="47">15/SUM(AZ6:BG6)</f>
        <v>1.0085890384515173</v>
      </c>
      <c r="CN6" s="61">
        <f t="shared" ref="CN6:CN7" si="48">IF(MIN(CJ6:CL6)&lt;1,MIN(CJ6:CL6),1)</f>
        <v>1</v>
      </c>
      <c r="CO6" s="61">
        <f t="shared" si="15"/>
        <v>6.2405330330609639</v>
      </c>
      <c r="CP6" s="61">
        <f t="shared" si="15"/>
        <v>0.38025576148580237</v>
      </c>
      <c r="CQ6" s="61">
        <f>$CN6*BB6</f>
        <v>1.9753383415010866</v>
      </c>
      <c r="CR6" s="61">
        <f t="shared" si="15"/>
        <v>4.4405008618799535E-2</v>
      </c>
      <c r="CS6" s="61">
        <f t="shared" si="15"/>
        <v>0.93328440600427176</v>
      </c>
      <c r="CT6" s="61">
        <f t="shared" si="15"/>
        <v>3.4962099947690004</v>
      </c>
      <c r="CU6" s="61">
        <f t="shared" si="15"/>
        <v>1.790968639966305</v>
      </c>
      <c r="CV6" s="61">
        <f t="shared" si="15"/>
        <v>1.126638807809084E-2</v>
      </c>
      <c r="CW6" s="61">
        <f t="shared" si="15"/>
        <v>0.76225529324124952</v>
      </c>
      <c r="CX6" s="61">
        <f t="shared" si="15"/>
        <v>0.23190062057668356</v>
      </c>
      <c r="CY6" s="61">
        <f t="shared" si="15"/>
        <v>0.16358663718767102</v>
      </c>
      <c r="CZ6" s="61">
        <f t="shared" si="15"/>
        <v>2.0040434295809789E-2</v>
      </c>
      <c r="DA6" s="61">
        <f t="shared" si="15"/>
        <v>1.8163729285165191</v>
      </c>
      <c r="DB6" s="61">
        <f t="shared" ref="DB6:DB7" si="49">CO6*2+CP6*2+CQ6*3/2+CR6*3/2+CS6+CT6+CU6+CV6+CW6/2+CX6/2</f>
        <v>22.999999999999996</v>
      </c>
      <c r="DC6" s="61">
        <f t="shared" ref="DC6:DC7" si="50">(23-DB6)*2</f>
        <v>7.1054273576010019E-15</v>
      </c>
      <c r="DD6" s="61" t="str">
        <f t="shared" ref="DD6:DD7" si="51">IF(DC6&gt;BD6,"FAIL","")</f>
        <v/>
      </c>
      <c r="DE6" s="60">
        <f t="shared" ref="DE6:DE7" si="52">CO6</f>
        <v>6.2405330330609639</v>
      </c>
      <c r="DF6" s="60">
        <f>IF(DE6&lt;8,IF((8-DE6)&lt;CQ6,(8-DE6),CQ6),0)</f>
        <v>1.7594669669390361</v>
      </c>
      <c r="DG6" s="60">
        <f t="shared" ref="DG6:DG7" si="53">IF((DF6+DE6)&lt;8,IF((8-DF6-DE6)&gt;CP6,CP6,(8-(DF6+DE6))),0)</f>
        <v>0</v>
      </c>
      <c r="DH6" s="60">
        <f t="shared" ref="DH6:DH7" si="54">SUM(DE6:DG6)</f>
        <v>8</v>
      </c>
      <c r="DI6" s="60">
        <f t="shared" ref="DI6:DI7" si="55">IF((CQ6-DF6)&gt;0,(CQ6-DF6),0)</f>
        <v>0.21587137456205041</v>
      </c>
      <c r="DJ6" s="60">
        <f t="shared" ref="DJ6:DJ7" si="56">IF(DI6+CP6&lt;5,CP6,5-DI6)</f>
        <v>0.38025576148580237</v>
      </c>
      <c r="DK6" s="60">
        <f t="shared" ref="DK6:DK7" si="57">IF(DI6+DJ6+CR6&lt;5,CR6,5-DJ6-DI6)</f>
        <v>4.4405008618799535E-2</v>
      </c>
      <c r="DL6" s="60">
        <f t="shared" ref="DL6:DL7" si="58">DC6</f>
        <v>7.1054273576010019E-15</v>
      </c>
      <c r="DM6" s="60">
        <f t="shared" ref="DM6:DM7" si="59">IF(SUM(DI6:DL6)&lt;5,IF((SUM(DI6:DL6)+CT6)&lt;5,CT6,5-SUM(DI6:DL6)),0)</f>
        <v>3.4962099947690004</v>
      </c>
      <c r="DN6" s="60">
        <f t="shared" ref="DN6:DN7" si="60">IF(SUM(DI6:DM6)&lt;5,IF((SUM(DI6:DM6)+CS6-DC6)&lt;5,CS6-DC6,5-SUM(DI6:DM6)),0)</f>
        <v>0.86325786056434062</v>
      </c>
      <c r="DO6" s="60">
        <f t="shared" ref="DO6:DO7" si="61">IF(SUM(DI6:DN6)&lt;5,IF((SUM(DI6:DN6)+CV6)&lt;5,CV6,5-SUM(DI6:DN6)),0)</f>
        <v>0</v>
      </c>
      <c r="DP6" s="60">
        <f t="shared" ref="DP6:DP7" si="62">SUM(DI6:DO6)</f>
        <v>5</v>
      </c>
      <c r="DQ6" s="60">
        <f t="shared" ref="DQ6:DQ7" si="63">IF((CT6-DM6)&gt;0,(CT6-DM6),0)</f>
        <v>0</v>
      </c>
      <c r="DR6" s="60">
        <f t="shared" ref="DR6:DR7" si="64">IF((CS6-DN6-DL6)&gt;0,(CS6-DN6-DL6),0)</f>
        <v>7.0026545439924037E-2</v>
      </c>
      <c r="DS6" s="60">
        <f t="shared" ref="DS6:DS7" si="65">IF((CV6-DO6)&gt;0,(CV6-DO6),0)</f>
        <v>1.126638807809084E-2</v>
      </c>
      <c r="DT6" s="60">
        <f t="shared" ref="DT6:DT7" si="66">CU6</f>
        <v>1.790968639966305</v>
      </c>
      <c r="DU6" s="60">
        <f t="shared" si="16"/>
        <v>0.12773842651568024</v>
      </c>
      <c r="DV6" s="60">
        <f t="shared" ref="DV6:DV7" si="67">SUM(DQ6:DU6)</f>
        <v>2</v>
      </c>
      <c r="DW6" s="60">
        <f t="shared" ref="DW6:DW7" si="68">CW6-DU6</f>
        <v>0.63451686672556928</v>
      </c>
      <c r="DX6" s="60">
        <f t="shared" ref="DX6:DX7" si="69">CY6</f>
        <v>0.16358663718767102</v>
      </c>
      <c r="DY6" s="60">
        <f t="shared" ref="DY6:DY7" si="70">SUM(DW6:DX6)</f>
        <v>0.79810350391324025</v>
      </c>
      <c r="EA6" s="61">
        <f t="shared" ref="EA6:EA7" si="71">8/(AZ6+BB6)</f>
        <v>0.97372507860451285</v>
      </c>
      <c r="EB6" s="61">
        <f t="shared" ref="EB6:EB7" si="72">15/SUM(AZ6:BH6)</f>
        <v>0.95941563963028542</v>
      </c>
      <c r="EC6" s="61">
        <f t="shared" ref="EC6:EC7" si="73">13/SUM(AZ6:BG6)</f>
        <v>0.87411049999131496</v>
      </c>
      <c r="ED6" s="61">
        <f t="shared" ref="ED6:ED7" si="74">23/(23+(0.5*BD6))</f>
        <v>0.98011465811915621</v>
      </c>
      <c r="EF6" s="61">
        <f t="shared" ref="EF6:EF7" si="75">MAX(EA6:ED6)</f>
        <v>0.98011465811915621</v>
      </c>
      <c r="EG6" s="61">
        <f>$EF6*AZ6</f>
        <v>6.1164379001798475</v>
      </c>
      <c r="EH6" s="61">
        <f t="shared" si="17"/>
        <v>0.37269424566649662</v>
      </c>
      <c r="EI6" s="61">
        <f>$EF6*BB6</f>
        <v>1.9360580632499984</v>
      </c>
      <c r="EJ6" s="61">
        <f t="shared" si="17"/>
        <v>4.3521999841192892E-2</v>
      </c>
      <c r="EK6" s="61">
        <f t="shared" si="17"/>
        <v>0.91472572651881656</v>
      </c>
      <c r="EL6" s="61">
        <f t="shared" si="17"/>
        <v>3.4266866637357958</v>
      </c>
      <c r="EM6" s="61">
        <f t="shared" si="17"/>
        <v>1.7553546162627052</v>
      </c>
      <c r="EN6" s="61">
        <f t="shared" si="17"/>
        <v>1.1042352099395742E-2</v>
      </c>
      <c r="EO6" s="61">
        <f t="shared" si="17"/>
        <v>0.74709758613466448</v>
      </c>
      <c r="EP6" s="61">
        <f t="shared" si="17"/>
        <v>0.22728919745413637</v>
      </c>
      <c r="EQ6" s="61">
        <f t="shared" si="17"/>
        <v>0.16033366098005664</v>
      </c>
      <c r="ER6" s="61">
        <f t="shared" si="17"/>
        <v>1.9641923408397023E-2</v>
      </c>
      <c r="ES6" s="61">
        <f t="shared" si="17"/>
        <v>1.7802537318498586</v>
      </c>
      <c r="ET6" s="61">
        <f t="shared" ref="ET6:ET7" si="76">EG6*2+EH6*2+EI6*3/2+EJ6*3/2+EK6+EL6+EM6+EN6+EO6/2+EP6/2</f>
        <v>22.542637136740588</v>
      </c>
      <c r="EU6" s="61">
        <f t="shared" ref="EU6:EU7" si="77">(23-ET6)*2</f>
        <v>0.91472572651882444</v>
      </c>
      <c r="EV6" s="61" t="str">
        <f t="shared" ref="EV6:EV7" si="78">IF(EU6&gt;BD6,"FAIL","")</f>
        <v/>
      </c>
      <c r="EW6" s="63">
        <f t="shared" ref="EW6:EW7" si="79">EG6</f>
        <v>6.1164379001798475</v>
      </c>
      <c r="EX6" s="63">
        <f t="shared" ref="EX6:EX7" si="80">IF(EW6&lt;8,IF((8-EW6)&lt;EI6,(8-EW6),EI6),0)</f>
        <v>1.8835620998201525</v>
      </c>
      <c r="EY6" s="63">
        <f t="shared" ref="EY6:EY7" si="81">IF((EX6+EW6)&lt;8,IF((8-EX6-EW6)&gt;EH6,EH6,(8-(EX6+EW6))),0)</f>
        <v>0</v>
      </c>
      <c r="EZ6" s="63">
        <f t="shared" ref="EZ6:EZ7" si="82">SUM(EW6:EY6)</f>
        <v>8</v>
      </c>
      <c r="FA6" s="63">
        <f t="shared" ref="FA6:FA7" si="83">IF((EI6-EX6)&gt;0,(EI6-EX6),0)</f>
        <v>5.249596342984586E-2</v>
      </c>
      <c r="FB6" s="63">
        <f t="shared" ref="FB6:FB7" si="84">IF(FA6+EH6&lt;5,EH6,5-FA6)</f>
        <v>0.37269424566649662</v>
      </c>
      <c r="FC6" s="63">
        <f t="shared" ref="FC6:FC7" si="85">IF(FA6+FB6+EJ6&lt;5,EJ6,5-FB6-FA6)</f>
        <v>4.3521999841192892E-2</v>
      </c>
      <c r="FD6" s="63">
        <f t="shared" ref="FD6:FD7" si="86">EU6</f>
        <v>0.91472572651882444</v>
      </c>
      <c r="FE6" s="63">
        <f t="shared" ref="FE6:FE7" si="87">IF(SUM(FA6:FD6)&lt;5,IF((SUM(FA6:FD6)+EL6)&lt;5,EL6,5-SUM(FA6:FD6)),0)</f>
        <v>3.4266866637357958</v>
      </c>
      <c r="FF6" s="63">
        <f t="shared" ref="FF6:FF7" si="88">IF(SUM(FA6:FE6)&lt;5,IF((SUM(FA6:FE6)+(EK6-EU6))&lt;5,EK6-EU6,5-SUM(FA6:FE6)),0)</f>
        <v>-7.8825834748386114E-15</v>
      </c>
      <c r="FG6" s="63">
        <f t="shared" ref="FG6:FG7" si="89">IF(SUM(FA6:FF6)&lt;5,IF((SUM(FA6:FF6)+EN6)&lt;5,EN6,5-SUM(FA6:FF6)),0)</f>
        <v>1.1042352099395742E-2</v>
      </c>
      <c r="FH6" s="63">
        <f t="shared" ref="FH6:FH7" si="90">SUM(FA6:FG6)</f>
        <v>4.8211669512915432</v>
      </c>
      <c r="FI6" s="63">
        <f t="shared" ref="FI6:FI7" si="91">IF((EL6-FE6)&gt;0,(EL6-FE6),0)</f>
        <v>0</v>
      </c>
      <c r="FJ6" s="63">
        <f t="shared" ref="FJ6:FJ7" si="92">IF((EK6-FF6-FD6)&gt;0,(EK6-FF6-FD6),0)</f>
        <v>0</v>
      </c>
      <c r="FK6" s="63">
        <f t="shared" ref="FK6:FK7" si="93">IF((EN6-FG6)&gt;0,(EN6-FG6),0)</f>
        <v>0</v>
      </c>
      <c r="FL6" s="63">
        <f t="shared" ref="FL6:FL7" si="94">EM6</f>
        <v>1.7553546162627052</v>
      </c>
      <c r="FM6" s="63">
        <f t="shared" ref="FM6:FM7" si="95">IF((SUM(FI6:FL6)&lt;2),IF((2-(FI6+FJ6+FK6+FL6))&lt;EO6,(2-SUM(FI6:FL6)),EO6),0)</f>
        <v>0.24464538373729483</v>
      </c>
      <c r="FN6" s="63">
        <f t="shared" ref="FN6:FN7" si="96">SUM(FI6:FM6)</f>
        <v>2</v>
      </c>
      <c r="FO6" s="63">
        <f t="shared" ref="FO6:FO7" si="97">EO6-FM6</f>
        <v>0.50245220239736965</v>
      </c>
      <c r="FP6" s="63">
        <f>EP6</f>
        <v>0.22728919745413637</v>
      </c>
      <c r="FQ6" s="63">
        <f t="shared" ref="FQ6:FQ7" si="98">SUM(FO6:FP6)</f>
        <v>0.72974139985150599</v>
      </c>
      <c r="FR6" s="63" t="str">
        <f t="shared" si="18"/>
        <v>Fail</v>
      </c>
      <c r="FS6" s="63" t="str">
        <f t="shared" si="19"/>
        <v>Invalid</v>
      </c>
      <c r="FT6" s="61">
        <f t="shared" si="20"/>
        <v>1.0000000000000024</v>
      </c>
      <c r="FV6" s="51">
        <f t="shared" si="21"/>
        <v>0.99005732905957811</v>
      </c>
      <c r="FW6" s="51">
        <f t="shared" si="22"/>
        <v>6.1784854666204057</v>
      </c>
      <c r="FX6" s="51">
        <f t="shared" si="22"/>
        <v>0.37647500357614949</v>
      </c>
      <c r="FY6" s="51">
        <f t="shared" si="22"/>
        <v>1.9556982023755425</v>
      </c>
      <c r="FZ6" s="51">
        <f t="shared" si="22"/>
        <v>4.396350422999621E-2</v>
      </c>
      <c r="GA6" s="51">
        <f t="shared" si="22"/>
        <v>0.92400506626154422</v>
      </c>
      <c r="GB6" s="51">
        <f t="shared" si="22"/>
        <v>3.4614483292523981</v>
      </c>
      <c r="GC6" s="51">
        <f t="shared" si="22"/>
        <v>1.7731616281145051</v>
      </c>
      <c r="GD6" s="51">
        <f t="shared" si="22"/>
        <v>1.1154370088743291E-2</v>
      </c>
      <c r="GE6" s="51">
        <f t="shared" si="22"/>
        <v>0.75467643968795695</v>
      </c>
      <c r="GF6" s="51">
        <f t="shared" si="22"/>
        <v>0.22959490901540996</v>
      </c>
      <c r="GG6" s="51">
        <f t="shared" si="22"/>
        <v>0.16196014908386383</v>
      </c>
      <c r="GH6" s="51">
        <f t="shared" si="22"/>
        <v>1.9841178852103406E-2</v>
      </c>
      <c r="GI6" s="51">
        <f t="shared" si="22"/>
        <v>1.7983133301831888</v>
      </c>
      <c r="GJ6" s="51">
        <f t="shared" ref="GJ6:GJ7" si="99">FW6*2+FX6*2+FY6*3/2+FZ6*3/2+GA6+GB6+GC6+GD6+GE6/2+GF6/2</f>
        <v>22.771318568370294</v>
      </c>
      <c r="GK6" s="51">
        <f t="shared" ref="GK6:GK7" si="100">(23-GJ6)*2</f>
        <v>0.45736286325941222</v>
      </c>
      <c r="GL6" s="34"/>
      <c r="GM6" s="84">
        <f>FW6</f>
        <v>6.1784854666204057</v>
      </c>
      <c r="GN6" s="84">
        <f>IF(GM6&lt;8,IF((8-GM6)&lt;FY6,(8-GM6),FY6),0)</f>
        <v>1.8215145333795943</v>
      </c>
      <c r="GO6" s="84">
        <f>IF((GN6+GM6)&lt;8,IF((8-GN6-GM6)&gt;FX6,FX6,(8-(GN6+GM6))),0)</f>
        <v>0</v>
      </c>
      <c r="GP6" s="88">
        <f t="shared" ref="GP6:GP7" si="101">SUM(GM6:GO6)</f>
        <v>8</v>
      </c>
      <c r="GQ6" s="84">
        <f>IF((FY6-GN6)&gt;0,(FY6-GN6),0)</f>
        <v>0.13418366899594814</v>
      </c>
      <c r="GR6" s="84">
        <f>IF(GQ6+FX6&lt;5,FX6,5-GQ6)</f>
        <v>0.37647500357614949</v>
      </c>
      <c r="GS6" s="84">
        <f>IF(GQ6+GR6+FZ6&lt;5,FZ6,5-GR6-GQ6)</f>
        <v>4.396350422999621E-2</v>
      </c>
      <c r="GT6" s="84">
        <f>GK6</f>
        <v>0.45736286325941222</v>
      </c>
      <c r="GU6" s="84">
        <f>IF(SUM(GQ6:GT6)&lt;5,IF((SUM(GQ6:GT6)+GB6)&lt;5,GB6,5-SUM(GQ6:GT6)),0)</f>
        <v>3.4614483292523981</v>
      </c>
      <c r="GV6" s="84">
        <f>IF(SUM(GQ6:GU6)&lt;5,IF((SUM(GQ6:GU6)+(GA6-GT6))&lt;5,GA6-GT6,5-SUM(GQ6:GU6)),0)</f>
        <v>0.46664220300213199</v>
      </c>
      <c r="GW6" s="84">
        <f>IF(SUM(GQ6:GV6)&lt;5,IF((SUM(GQ6:GV6)+GD6)&lt;5,GD6,5-SUM(GQ6:GV6)),0)</f>
        <v>1.1154370088743291E-2</v>
      </c>
      <c r="GX6" s="88">
        <f t="shared" ref="GX6:GX7" si="102">SUM(GQ6:GW6)</f>
        <v>4.9512299424047788</v>
      </c>
      <c r="GY6" s="84">
        <f>IF((GB6-GU6)&gt;0,(GB6-GU6),0)</f>
        <v>0</v>
      </c>
      <c r="GZ6" s="84">
        <f>IF((GA6-GV6-GT6)&gt;0,(GA6-GV6-GT6),0)</f>
        <v>0</v>
      </c>
      <c r="HA6" s="84">
        <f>IF((GD6-GW6)&gt;0,(GD6-GW6),0)</f>
        <v>0</v>
      </c>
      <c r="HB6" s="84">
        <f>GC6</f>
        <v>1.7731616281145051</v>
      </c>
      <c r="HC6" s="84">
        <f>IF((SUM(GY6:HB6)&lt;2),IF((2-(GY6+GZ6+HA6+HB6))&lt;GE6,(2-SUM(GY6:HB6)),GE6),0)</f>
        <v>0.22683837188549494</v>
      </c>
      <c r="HD6" s="88">
        <f t="shared" ref="HD6:HD7" si="103">SUM(GY6:HC6)</f>
        <v>2</v>
      </c>
      <c r="HE6" s="84">
        <f>GE6-HC6</f>
        <v>0.52783806780246201</v>
      </c>
      <c r="HF6" s="84">
        <f>GF6</f>
        <v>0.22959490901540996</v>
      </c>
      <c r="HG6" s="84">
        <f t="shared" ref="HG6:HG7" si="104">SUM(HE6:HF6)</f>
        <v>0.75743297681787203</v>
      </c>
      <c r="HH6" s="97" t="str">
        <f>IF(OR(GT6&lt;0, GV6&lt;0, HE6&lt;0, HG6&gt;1), "Fail", "Pass")</f>
        <v>Pass</v>
      </c>
      <c r="HI6" s="84">
        <f>(GU6+GY6)/(GY6+GU6+GV6+GZ6)</f>
        <v>0.88120380648805907</v>
      </c>
      <c r="HJ6" s="84">
        <f>HF6+HE6</f>
        <v>0.75743297681787203</v>
      </c>
      <c r="HK6" s="84">
        <f>GR6+GO6</f>
        <v>0.37647500357614949</v>
      </c>
      <c r="HL6" s="84">
        <f>GM6</f>
        <v>6.1784854666204057</v>
      </c>
      <c r="HM6" s="97" t="str">
        <f t="shared" si="24"/>
        <v>MgHst</v>
      </c>
      <c r="HP6" s="98">
        <f>parameters!$E$5+parameters!$F$5*calcs!$Q6 +parameters!$G$5*calcs!$GM6+parameters!$H$5*LN(calcs!$GM6)+parameters!$I$5*calcs!$GQ6+parameters!$J$5*(calcs!$GU6+calcs!$GY6) + parameters!$K$5*calcs!$GT6+parameters!$L$5*(calcs!$GV6+calcs!$GZ6)+parameters!$M$5*(calcs!$GT6+calcs!$GV6+calcs!$GZ6)+parameters!$N$5*(calcs!$GO6+calcs!$GR6)+parameters!$O$5*calcs!$HB6+parameters!$P$5*calcs!$HE6</f>
        <v>53.07697211408</v>
      </c>
      <c r="HQ6" s="98">
        <f>parameters!$E$6+parameters!$F$6*calcs!$Q6 +parameters!$G$6*calcs!$GM6+parameters!$H$6*LN(calcs!$GM6)+parameters!$I$6*calcs!$GQ6+parameters!$J$6*(calcs!$GU6+calcs!$GY6) + parameters!$K$6*calcs!$GT6+parameters!$L$6*(calcs!$GV6+calcs!$GZ6)+parameters!$M$6*(calcs!$GT6+calcs!$GV6+calcs!$GZ6)+parameters!$N$6*(calcs!$GO6+calcs!$GR6)+parameters!$O$6*calcs!$HB6+parameters!$P$6*calcs!$HE6</f>
        <v>56.013518717896147</v>
      </c>
      <c r="HR6" s="98">
        <f>parameters!$E$7+parameters!$F$7*calcs!$Q6 +parameters!$G$7*calcs!$GM6+parameters!$H$7*LN(calcs!$GM6)+parameters!$I$7*calcs!$GQ6+parameters!$J$7*(calcs!$GU6+calcs!$GY6) + parameters!$K$7*calcs!$GT6+parameters!$L$7*(calcs!$GV6+calcs!$GZ6)+parameters!$M$7*(calcs!$GT6+calcs!$GV6+calcs!$GZ6)+parameters!$N$7*(calcs!$GO6+calcs!$GR6)+parameters!$O$7*calcs!$HB6+parameters!$P$7*calcs!$HE6</f>
        <v>58.405127777089007</v>
      </c>
      <c r="HS6" s="98">
        <f>parameters!$E$8+parameters!$F$8*calcs!$Q6 +parameters!$G$8*calcs!$GM6+parameters!$H$8*LN(calcs!$GM6)+parameters!$I$8*calcs!$GQ6+parameters!$J$8*(calcs!$GU6+calcs!$GY6) + parameters!$K$8*calcs!$GT6+parameters!$L$8*(calcs!$GV6+calcs!$GZ6)+parameters!$M$8*(calcs!$GT6+calcs!$GV6+calcs!$GZ6)+parameters!$N$8*(calcs!$GO6+calcs!$GR6)+parameters!$O$8*calcs!$HB6+parameters!$P$8*calcs!$HE6</f>
        <v>57.676590194016313</v>
      </c>
      <c r="HT6" s="82"/>
      <c r="HU6" s="98">
        <f>EXP(parameters!$E$10+parameters!$F$10*calcs!$Q6 +parameters!$G$10*calcs!$GM6+parameters!$H$10*LN(calcs!$GM6)+parameters!$I$10*calcs!$GQ6+parameters!$J$10*(calcs!$GU6+calcs!$GY6) + parameters!$K$10*calcs!$GT6+parameters!$L$10*(calcs!$GV6+calcs!$GZ6)+parameters!$M$10*(calcs!$GT6+calcs!$GV6+calcs!$GZ6)+parameters!$N$10*(calcs!$GO6+calcs!$GR6)+parameters!$O$10*calcs!$HB6+parameters!$P$10*calcs!$HE6)</f>
        <v>1.414355507795942</v>
      </c>
      <c r="HV6" s="98">
        <f>EXP(parameters!$E$11+parameters!$F$11*calcs!$Q6 +parameters!$G$11*calcs!$GM6+parameters!$H$11*LN(calcs!$GM6)+parameters!$I$11*calcs!$GQ6+parameters!$J$11*(calcs!$GU6+calcs!$GY6) + parameters!$K$11*calcs!$GT6+parameters!$L$11*(calcs!$GV6+calcs!$GZ6)+parameters!$M$11*(calcs!$GT6+calcs!$GV6+calcs!$GZ6)+parameters!$N$11*(calcs!$GO6+calcs!$GR6)+parameters!$O$11*calcs!$HB6+parameters!$P$11*calcs!$HE6)</f>
        <v>1.5220999213595738</v>
      </c>
      <c r="HW6" s="74"/>
      <c r="HX6" s="98">
        <f>EXP(parameters!$E$13+parameters!$F$13*calcs!$Q6 +parameters!$G$13*calcs!$GM6+parameters!$H$13*LN(calcs!$GM6)+parameters!$I$13*calcs!$GQ6+parameters!$J$13*(calcs!$GU6+calcs!$GY6) + parameters!$K$13*calcs!$GT6+parameters!$L$13*(calcs!$GV6+calcs!$GZ6)+parameters!$M$13*(calcs!$GT6+calcs!$GV6+calcs!$GZ6)+parameters!$N$13*(calcs!$GO6+calcs!$GR6)+parameters!$O$13*calcs!$HB6+parameters!$P$13*calcs!$HE6)</f>
        <v>5.4275441101252246</v>
      </c>
      <c r="HY6" s="98">
        <f>EXP(parameters!$E$14+parameters!$F$14*calcs!$Q6 +parameters!$G$14*calcs!$GM6+parameters!$H$14*LN(calcs!$GM6)+parameters!$I$14*calcs!$GQ6+parameters!$J$14*(calcs!$GU6+calcs!$GY6) + parameters!$K$14*calcs!$GT6+parameters!$L$14*(calcs!$GV6+calcs!$GZ6)+parameters!$M$14*(calcs!$GT6+calcs!$GV6+calcs!$GZ6)+parameters!$N$14*(calcs!$GO6+calcs!$GR6)+parameters!$O$14*calcs!$HB6+parameters!$P$14*calcs!$HE6)</f>
        <v>5.1248698804315973</v>
      </c>
      <c r="HZ6" s="82"/>
      <c r="IA6" s="98">
        <f>EXP(parameters!$E$16+parameters!$F$16*calcs!$Q6 +parameters!$G$16*calcs!$GM6+parameters!$H$16*LN(calcs!$GM6)+parameters!$I$16*calcs!$GQ6+parameters!$J$16*(calcs!$GU6+calcs!$GY6) + parameters!$K$16*calcs!$GT6+parameters!$L$16*(calcs!$GV6+calcs!$GZ6)+parameters!$M$16*(calcs!$GT6+calcs!$GV6+calcs!$GZ6)+parameters!$N$16*(calcs!$GO6+calcs!$GR6)+parameters!$O$16*calcs!$HB6+parameters!$P$16*calcs!$HE6)</f>
        <v>2.4699018926891076</v>
      </c>
      <c r="IB6" s="82"/>
      <c r="IC6" s="98">
        <f>(parameters!$E$18+parameters!$F$18*calcs!$Q6 +parameters!$G$18*calcs!$GM6+parameters!$H$18*LN(calcs!$GM6)+parameters!$I$18*calcs!$GQ6+parameters!$J$18*(calcs!$GU6+calcs!$GY6) + parameters!$K$18*calcs!$GT6+parameters!$L$18*(calcs!$GV6+calcs!$GZ6)+parameters!$M$18*(calcs!$GT6+calcs!$GV6+calcs!$GZ6)+parameters!$N$18*(calcs!$GO6+calcs!$GR6)+parameters!$O$18*calcs!$HB6+parameters!$P$18*calcs!$HE6)</f>
        <v>6.7626766188314207</v>
      </c>
      <c r="ID6" s="98">
        <f>EXP(parameters!$E$19+parameters!$F$19*calcs!$Q6 +parameters!$G$19*calcs!$GM6+parameters!$H$19*LN(calcs!$GM6)+parameters!$I$19*calcs!$GQ6+parameters!$J$19*(calcs!$GU6+calcs!$GY6) + parameters!$K$19*calcs!$GT6+parameters!$L$19*(calcs!$GV6+calcs!$GZ6)+parameters!$M$19*(calcs!$GT6+calcs!$GV6+calcs!$GZ6)+parameters!$N$19*(calcs!$GO6+calcs!$GR6)+parameters!$O$19*calcs!$HB6+parameters!$P$19*calcs!$HE6)</f>
        <v>5.4141780302590234</v>
      </c>
      <c r="IE6" s="74"/>
      <c r="IF6" s="98">
        <f>(parameters!$E$21+parameters!$F$21*calcs!$Q6 +parameters!$G$21*calcs!$GM6+parameters!$H$21*LN(calcs!$GM6)+parameters!$I$21*calcs!$GQ6+parameters!$J$21*(calcs!$GU6+calcs!$GY6) + parameters!$K$21*calcs!$GT6+parameters!$L$21*(calcs!$GV6+calcs!$GZ6)+parameters!$M$21*(calcs!$GT6+calcs!$GV6+calcs!$GZ6)+parameters!$N$21*(calcs!$GO6+calcs!$GR6)+parameters!$O$21*calcs!$HB6+parameters!$P$21*calcs!$HE6)</f>
        <v>3.4753440921944954</v>
      </c>
      <c r="IG6" s="98">
        <f>(parameters!$E$22+parameters!$F$22*calcs!$Q6 +parameters!$G$22*calcs!$GM6+parameters!$H$22*LN(calcs!$GM6)+parameters!$I$22*calcs!$GQ6+parameters!$J$22*(calcs!$GU6+calcs!$GY6) + parameters!$K$22*calcs!$GT6+parameters!$L$22*(calcs!$GV6+calcs!$GZ6)+parameters!$M$22*(calcs!$GT6+calcs!$GV6+calcs!$GZ6)+parameters!$N$22*(calcs!$GO6+calcs!$GR6)+parameters!$O$22*calcs!$HB6+parameters!$P$22*calcs!$HE6)</f>
        <v>2.2039702214351697</v>
      </c>
      <c r="IH6" s="82"/>
      <c r="II6" s="98">
        <f>(parameters!$E$24+parameters!$F$24*calcs!$Q6 +parameters!$G$24*calcs!$GM6+parameters!$H$24*LN(calcs!$GM6)+parameters!$I$24*calcs!$GQ6+parameters!$J$24*(calcs!$GU6+calcs!$GY6) + parameters!$K$24*calcs!$GT6+parameters!$L$24*(calcs!$GV6+calcs!$GZ6)+parameters!$M$24*(calcs!$GT6+calcs!$GV6+calcs!$GZ6)+parameters!$N$24*(calcs!$GO6+calcs!$GR6)+parameters!$O$24*calcs!$HB6+parameters!$P$24*calcs!$HE6)</f>
        <v>17.085695767539928</v>
      </c>
      <c r="IJ6" s="99"/>
    </row>
    <row r="7" spans="1:244" s="61" customFormat="1" x14ac:dyDescent="0.25">
      <c r="A7" s="90" t="s">
        <v>115</v>
      </c>
      <c r="B7" s="91" t="str">
        <f t="shared" ref="B7" si="105">HM7</f>
        <v>MgHst</v>
      </c>
      <c r="C7" s="92">
        <v>41.9</v>
      </c>
      <c r="D7" s="92">
        <v>1.61</v>
      </c>
      <c r="E7" s="92">
        <v>12.9</v>
      </c>
      <c r="F7" s="92">
        <v>0.37</v>
      </c>
      <c r="G7" s="92">
        <v>8.5</v>
      </c>
      <c r="H7" s="92">
        <v>15.22</v>
      </c>
      <c r="I7" s="92">
        <v>9.9600000000000009</v>
      </c>
      <c r="J7" s="92">
        <v>0.1</v>
      </c>
      <c r="K7" s="92">
        <v>2.5499999999999998</v>
      </c>
      <c r="L7" s="92">
        <v>1.61</v>
      </c>
      <c r="M7" s="92">
        <v>1.25</v>
      </c>
      <c r="N7" s="92">
        <v>0</v>
      </c>
      <c r="O7" s="92">
        <v>0</v>
      </c>
      <c r="P7" s="92">
        <v>95.97</v>
      </c>
      <c r="Q7" s="61">
        <v>1050</v>
      </c>
      <c r="R7" s="93">
        <f t="shared" si="0"/>
        <v>0.69740346205059922</v>
      </c>
      <c r="S7" s="94">
        <f t="shared" si="0"/>
        <v>2.0157756354075372E-2</v>
      </c>
      <c r="T7" s="94">
        <f t="shared" si="0"/>
        <v>0.12651871496216208</v>
      </c>
      <c r="U7" s="94">
        <f t="shared" si="0"/>
        <v>2.4343706822817289E-3</v>
      </c>
      <c r="V7" s="94">
        <f t="shared" si="0"/>
        <v>0.11831848552338529</v>
      </c>
      <c r="W7" s="94">
        <f t="shared" si="0"/>
        <v>0.37757380302654425</v>
      </c>
      <c r="X7" s="94">
        <f t="shared" si="0"/>
        <v>0.17760342368045651</v>
      </c>
      <c r="Y7" s="94">
        <f t="shared" si="0"/>
        <v>1.4096419509444602E-3</v>
      </c>
      <c r="Z7" s="94">
        <f t="shared" si="0"/>
        <v>4.1142967779409151E-2</v>
      </c>
      <c r="AA7" s="94">
        <f t="shared" si="0"/>
        <v>1.7090678255774209E-2</v>
      </c>
      <c r="AB7" s="94">
        <f t="shared" si="0"/>
        <v>6.5789473684210523E-2</v>
      </c>
      <c r="AC7" s="95">
        <f t="shared" si="0"/>
        <v>0</v>
      </c>
      <c r="AD7" s="93">
        <f t="shared" si="25"/>
        <v>1.3948069241011984</v>
      </c>
      <c r="AE7" s="94">
        <f t="shared" si="1"/>
        <v>4.0315512708150744E-2</v>
      </c>
      <c r="AF7" s="94">
        <f t="shared" si="2"/>
        <v>0.37955614488648626</v>
      </c>
      <c r="AG7" s="94">
        <f t="shared" si="2"/>
        <v>7.3031120468451862E-3</v>
      </c>
      <c r="AH7" s="94">
        <f t="shared" si="3"/>
        <v>0.11831848552338529</v>
      </c>
      <c r="AI7" s="94">
        <f t="shared" si="3"/>
        <v>0.37757380302654425</v>
      </c>
      <c r="AJ7" s="94">
        <f t="shared" si="3"/>
        <v>0.17760342368045651</v>
      </c>
      <c r="AK7" s="94">
        <f t="shared" si="3"/>
        <v>1.4096419509444602E-3</v>
      </c>
      <c r="AL7" s="94">
        <f t="shared" si="3"/>
        <v>4.1142967779409151E-2</v>
      </c>
      <c r="AM7" s="94">
        <f t="shared" si="3"/>
        <v>1.7090678255774209E-2</v>
      </c>
      <c r="AN7" s="95">
        <f t="shared" si="4"/>
        <v>2.5551206939591946</v>
      </c>
      <c r="AO7" s="93">
        <f t="shared" si="5"/>
        <v>12.555398784164005</v>
      </c>
      <c r="AP7" s="94">
        <f t="shared" si="5"/>
        <v>0.36290136684332902</v>
      </c>
      <c r="AQ7" s="94">
        <f t="shared" si="5"/>
        <v>3.4165866814151356</v>
      </c>
      <c r="AR7" s="94">
        <f t="shared" si="5"/>
        <v>6.5739194815554888E-2</v>
      </c>
      <c r="AS7" s="94">
        <f t="shared" si="5"/>
        <v>1.065047601654046</v>
      </c>
      <c r="AT7" s="94">
        <f t="shared" si="5"/>
        <v>3.3987425682636681</v>
      </c>
      <c r="AU7" s="94">
        <f t="shared" si="5"/>
        <v>1.5987028535708516</v>
      </c>
      <c r="AV7" s="94">
        <f t="shared" si="5"/>
        <v>1.2688936749005234E-2</v>
      </c>
      <c r="AW7" s="94">
        <f t="shared" si="5"/>
        <v>0.37034972992219939</v>
      </c>
      <c r="AX7" s="94">
        <f t="shared" si="5"/>
        <v>0.15384228260220273</v>
      </c>
      <c r="AY7" s="95">
        <f t="shared" si="6"/>
        <v>23</v>
      </c>
      <c r="AZ7" s="93">
        <f t="shared" si="7"/>
        <v>6.2776993920820026</v>
      </c>
      <c r="BA7" s="94">
        <f t="shared" si="7"/>
        <v>0.18145068342166451</v>
      </c>
      <c r="BB7" s="94">
        <f t="shared" si="8"/>
        <v>2.2777244542767572</v>
      </c>
      <c r="BC7" s="94">
        <f t="shared" si="8"/>
        <v>4.3826129877036595E-2</v>
      </c>
      <c r="BD7" s="94">
        <f t="shared" si="9"/>
        <v>1.065047601654046</v>
      </c>
      <c r="BE7" s="94">
        <f t="shared" si="9"/>
        <v>3.3987425682636681</v>
      </c>
      <c r="BF7" s="94">
        <f t="shared" si="9"/>
        <v>1.5987028535708516</v>
      </c>
      <c r="BG7" s="94">
        <f t="shared" si="9"/>
        <v>1.2688936749005234E-2</v>
      </c>
      <c r="BH7" s="94">
        <f t="shared" si="10"/>
        <v>0.74069945984439878</v>
      </c>
      <c r="BI7" s="94">
        <f t="shared" si="10"/>
        <v>0.30768456520440546</v>
      </c>
      <c r="BJ7" s="94">
        <f t="shared" si="11"/>
        <v>0.59220603485159951</v>
      </c>
      <c r="BK7" s="94">
        <f t="shared" si="11"/>
        <v>0</v>
      </c>
      <c r="BL7" s="94">
        <f t="shared" si="12"/>
        <v>1.4077939651484006</v>
      </c>
      <c r="BM7" s="95">
        <f t="shared" si="13"/>
        <v>15.904266644943835</v>
      </c>
      <c r="BN7" s="96">
        <f t="shared" si="26"/>
        <v>6.2776993920820026</v>
      </c>
      <c r="BO7" s="67">
        <f t="shared" si="27"/>
        <v>1.7223006079179974</v>
      </c>
      <c r="BP7" s="67">
        <f t="shared" si="28"/>
        <v>0</v>
      </c>
      <c r="BQ7" s="67">
        <f t="shared" si="29"/>
        <v>8</v>
      </c>
      <c r="BR7" s="67">
        <f t="shared" si="30"/>
        <v>0.55542384635875974</v>
      </c>
      <c r="BS7" s="67">
        <f t="shared" si="31"/>
        <v>0.18145068342166451</v>
      </c>
      <c r="BT7" s="67">
        <f t="shared" si="32"/>
        <v>4.3826129877036595E-2</v>
      </c>
      <c r="BU7" s="67"/>
      <c r="BV7" s="67">
        <f t="shared" si="33"/>
        <v>3.3987425682636681</v>
      </c>
      <c r="BW7" s="67">
        <f t="shared" si="34"/>
        <v>0.8205567720788709</v>
      </c>
      <c r="BX7" s="67">
        <f t="shared" si="35"/>
        <v>0</v>
      </c>
      <c r="BY7" s="67">
        <f t="shared" si="36"/>
        <v>5</v>
      </c>
      <c r="BZ7" s="67">
        <f t="shared" si="37"/>
        <v>0</v>
      </c>
      <c r="CA7" s="67">
        <f t="shared" si="38"/>
        <v>0.24449082957517509</v>
      </c>
      <c r="CB7" s="67">
        <f t="shared" si="39"/>
        <v>1.2688936749005234E-2</v>
      </c>
      <c r="CC7" s="67">
        <f t="shared" si="40"/>
        <v>1.5987028535708516</v>
      </c>
      <c r="CD7" s="57">
        <f t="shared" si="14"/>
        <v>0.144117380104968</v>
      </c>
      <c r="CE7" s="67">
        <f t="shared" si="41"/>
        <v>2</v>
      </c>
      <c r="CF7" s="67">
        <f t="shared" si="42"/>
        <v>0.59658207973943078</v>
      </c>
      <c r="CG7" s="67">
        <f t="shared" si="43"/>
        <v>0.30768456520440546</v>
      </c>
      <c r="CH7" s="68">
        <f t="shared" si="44"/>
        <v>0.90426664494383624</v>
      </c>
      <c r="CJ7" s="61">
        <f t="shared" si="45"/>
        <v>1.2743521950239156</v>
      </c>
      <c r="CK7" s="61">
        <f t="shared" si="46"/>
        <v>1.006019350479552</v>
      </c>
      <c r="CL7" s="61">
        <f t="shared" si="47"/>
        <v>1.009701031153273</v>
      </c>
      <c r="CN7" s="61">
        <f t="shared" si="48"/>
        <v>1</v>
      </c>
      <c r="CO7" s="61">
        <f t="shared" si="15"/>
        <v>6.2776993920820026</v>
      </c>
      <c r="CP7" s="61">
        <f t="shared" si="15"/>
        <v>0.18145068342166451</v>
      </c>
      <c r="CQ7" s="61">
        <f t="shared" si="15"/>
        <v>2.2777244542767572</v>
      </c>
      <c r="CR7" s="61">
        <f t="shared" si="15"/>
        <v>4.3826129877036595E-2</v>
      </c>
      <c r="CS7" s="61">
        <f t="shared" si="15"/>
        <v>1.065047601654046</v>
      </c>
      <c r="CT7" s="61">
        <f t="shared" si="15"/>
        <v>3.3987425682636681</v>
      </c>
      <c r="CU7" s="61">
        <f t="shared" si="15"/>
        <v>1.5987028535708516</v>
      </c>
      <c r="CV7" s="61">
        <f t="shared" si="15"/>
        <v>1.2688936749005234E-2</v>
      </c>
      <c r="CW7" s="61">
        <f t="shared" si="15"/>
        <v>0.74069945984439878</v>
      </c>
      <c r="CX7" s="61">
        <f t="shared" si="15"/>
        <v>0.30768456520440546</v>
      </c>
      <c r="CY7" s="61">
        <f t="shared" si="15"/>
        <v>0.59220603485159951</v>
      </c>
      <c r="CZ7" s="61">
        <f t="shared" si="15"/>
        <v>0</v>
      </c>
      <c r="DA7" s="61">
        <f t="shared" si="15"/>
        <v>1.4077939651484006</v>
      </c>
      <c r="DB7" s="61">
        <f t="shared" si="49"/>
        <v>23</v>
      </c>
      <c r="DC7" s="61">
        <f t="shared" si="50"/>
        <v>0</v>
      </c>
      <c r="DD7" s="61" t="str">
        <f t="shared" si="51"/>
        <v/>
      </c>
      <c r="DE7" s="60">
        <f t="shared" si="52"/>
        <v>6.2776993920820026</v>
      </c>
      <c r="DF7" s="60">
        <f t="shared" ref="DF7" si="106">IF(DE7&lt;8,IF((8-DE7)&lt;CQ7,(8-DE7),CQ7),0)</f>
        <v>1.7223006079179974</v>
      </c>
      <c r="DG7" s="60">
        <f t="shared" si="53"/>
        <v>0</v>
      </c>
      <c r="DH7" s="60">
        <f t="shared" si="54"/>
        <v>8</v>
      </c>
      <c r="DI7" s="60">
        <f t="shared" si="55"/>
        <v>0.55542384635875974</v>
      </c>
      <c r="DJ7" s="60">
        <f t="shared" si="56"/>
        <v>0.18145068342166451</v>
      </c>
      <c r="DK7" s="60">
        <f t="shared" si="57"/>
        <v>4.3826129877036595E-2</v>
      </c>
      <c r="DL7" s="60">
        <f t="shared" si="58"/>
        <v>0</v>
      </c>
      <c r="DM7" s="60">
        <f t="shared" si="59"/>
        <v>3.3987425682636681</v>
      </c>
      <c r="DN7" s="60">
        <f t="shared" si="60"/>
        <v>0.8205567720788709</v>
      </c>
      <c r="DO7" s="60">
        <f t="shared" si="61"/>
        <v>0</v>
      </c>
      <c r="DP7" s="60">
        <f t="shared" si="62"/>
        <v>5</v>
      </c>
      <c r="DQ7" s="60">
        <f t="shared" si="63"/>
        <v>0</v>
      </c>
      <c r="DR7" s="60">
        <f t="shared" si="64"/>
        <v>0.24449082957517509</v>
      </c>
      <c r="DS7" s="60">
        <f t="shared" si="65"/>
        <v>1.2688936749005234E-2</v>
      </c>
      <c r="DT7" s="60">
        <f t="shared" si="66"/>
        <v>1.5987028535708516</v>
      </c>
      <c r="DU7" s="60">
        <f t="shared" si="16"/>
        <v>0.144117380104968</v>
      </c>
      <c r="DV7" s="60">
        <f t="shared" si="67"/>
        <v>2</v>
      </c>
      <c r="DW7" s="60">
        <f t="shared" si="68"/>
        <v>0.59658207973943078</v>
      </c>
      <c r="DX7" s="60">
        <f t="shared" si="69"/>
        <v>0.59220603485159951</v>
      </c>
      <c r="DY7" s="60">
        <f t="shared" si="70"/>
        <v>1.1887881145910302</v>
      </c>
      <c r="EA7" s="61">
        <f t="shared" si="71"/>
        <v>0.93507933021984035</v>
      </c>
      <c r="EB7" s="61">
        <f t="shared" si="72"/>
        <v>0.96174917833347517</v>
      </c>
      <c r="EC7" s="61">
        <f t="shared" si="73"/>
        <v>0.87507422699950332</v>
      </c>
      <c r="ED7" s="61">
        <f t="shared" si="74"/>
        <v>0.97737073144664977</v>
      </c>
      <c r="EF7" s="61">
        <f t="shared" si="75"/>
        <v>0.97737073144664977</v>
      </c>
      <c r="EG7" s="61">
        <f t="shared" si="17"/>
        <v>6.1356396466413754</v>
      </c>
      <c r="EH7" s="61">
        <f t="shared" si="17"/>
        <v>0.17734458717732673</v>
      </c>
      <c r="EI7" s="61">
        <f t="shared" si="17"/>
        <v>2.2261812159103953</v>
      </c>
      <c r="EJ7" s="61">
        <f t="shared" si="17"/>
        <v>4.2834376614395125E-2</v>
      </c>
      <c r="EK7" s="61">
        <f t="shared" si="17"/>
        <v>1.040946353454115</v>
      </c>
      <c r="EL7" s="61">
        <f t="shared" si="17"/>
        <v>3.3218315099427262</v>
      </c>
      <c r="EM7" s="61">
        <f t="shared" si="17"/>
        <v>1.5625253773603895</v>
      </c>
      <c r="EN7" s="61">
        <f t="shared" si="17"/>
        <v>1.2401795391655521E-2</v>
      </c>
      <c r="EO7" s="61">
        <f t="shared" si="17"/>
        <v>0.7239379728502584</v>
      </c>
      <c r="EP7" s="61">
        <f t="shared" si="17"/>
        <v>0.30072188854867415</v>
      </c>
      <c r="EQ7" s="61">
        <f t="shared" si="17"/>
        <v>0.57880484545002797</v>
      </c>
      <c r="ER7" s="61">
        <f t="shared" si="17"/>
        <v>0</v>
      </c>
      <c r="ES7" s="61">
        <f t="shared" si="17"/>
        <v>1.3759366174432717</v>
      </c>
      <c r="ET7" s="61">
        <f t="shared" si="76"/>
        <v>22.479526823272945</v>
      </c>
      <c r="EU7" s="61">
        <f t="shared" si="77"/>
        <v>1.0409463534541104</v>
      </c>
      <c r="EV7" s="61" t="str">
        <f t="shared" si="78"/>
        <v/>
      </c>
      <c r="EW7" s="63">
        <f t="shared" si="79"/>
        <v>6.1356396466413754</v>
      </c>
      <c r="EX7" s="63">
        <f t="shared" si="80"/>
        <v>1.8643603533586246</v>
      </c>
      <c r="EY7" s="63">
        <f t="shared" si="81"/>
        <v>0</v>
      </c>
      <c r="EZ7" s="63">
        <f t="shared" si="82"/>
        <v>8</v>
      </c>
      <c r="FA7" s="63">
        <f t="shared" si="83"/>
        <v>0.36182086255177071</v>
      </c>
      <c r="FB7" s="63">
        <f t="shared" si="84"/>
        <v>0.17734458717732673</v>
      </c>
      <c r="FC7" s="63">
        <f t="shared" si="85"/>
        <v>4.2834376614395125E-2</v>
      </c>
      <c r="FD7" s="63">
        <f t="shared" si="86"/>
        <v>1.0409463534541104</v>
      </c>
      <c r="FE7" s="63">
        <f t="shared" si="87"/>
        <v>3.3218315099427262</v>
      </c>
      <c r="FF7" s="63">
        <f t="shared" si="88"/>
        <v>4.6629367034256575E-15</v>
      </c>
      <c r="FG7" s="63">
        <f t="shared" si="89"/>
        <v>1.2401795391655521E-2</v>
      </c>
      <c r="FH7" s="63">
        <f t="shared" si="90"/>
        <v>4.9571794851319888</v>
      </c>
      <c r="FI7" s="63">
        <f t="shared" si="91"/>
        <v>0</v>
      </c>
      <c r="FJ7" s="63">
        <f t="shared" si="92"/>
        <v>0</v>
      </c>
      <c r="FK7" s="63">
        <f t="shared" si="93"/>
        <v>0</v>
      </c>
      <c r="FL7" s="63">
        <f t="shared" si="94"/>
        <v>1.5625253773603895</v>
      </c>
      <c r="FM7" s="63">
        <f t="shared" si="95"/>
        <v>0.43747462263961046</v>
      </c>
      <c r="FN7" s="63">
        <f t="shared" si="96"/>
        <v>2</v>
      </c>
      <c r="FO7" s="63">
        <f t="shared" si="97"/>
        <v>0.28646335021064795</v>
      </c>
      <c r="FP7" s="63">
        <f t="shared" ref="FP7" si="107">EP7</f>
        <v>0.30072188854867415</v>
      </c>
      <c r="FQ7" s="63">
        <f t="shared" si="98"/>
        <v>0.58718523875932216</v>
      </c>
      <c r="FR7" s="63" t="str">
        <f t="shared" si="18"/>
        <v>Pass</v>
      </c>
      <c r="FS7" s="63" t="str">
        <f t="shared" si="19"/>
        <v>Mg-Hst</v>
      </c>
      <c r="FT7" s="61">
        <f t="shared" si="20"/>
        <v>0.99999999999999856</v>
      </c>
      <c r="FV7" s="61">
        <f t="shared" si="21"/>
        <v>0.98868536572332488</v>
      </c>
      <c r="FW7" s="61">
        <f t="shared" si="22"/>
        <v>6.2066695193616894</v>
      </c>
      <c r="FX7" s="61">
        <f t="shared" si="22"/>
        <v>0.17939763529949562</v>
      </c>
      <c r="FY7" s="61">
        <f t="shared" si="22"/>
        <v>2.2519528350935762</v>
      </c>
      <c r="FZ7" s="61">
        <f t="shared" si="22"/>
        <v>4.3330253245715863E-2</v>
      </c>
      <c r="GA7" s="61">
        <f t="shared" si="22"/>
        <v>1.0529969775540804</v>
      </c>
      <c r="GB7" s="61">
        <f t="shared" si="22"/>
        <v>3.3602870391031971</v>
      </c>
      <c r="GC7" s="61">
        <f t="shared" si="22"/>
        <v>1.5806141154656206</v>
      </c>
      <c r="GD7" s="61">
        <f t="shared" si="22"/>
        <v>1.2545366070330377E-2</v>
      </c>
      <c r="GE7" s="61">
        <f t="shared" si="22"/>
        <v>0.73231871634732859</v>
      </c>
      <c r="GF7" s="61">
        <f t="shared" si="22"/>
        <v>0.30420322687653983</v>
      </c>
      <c r="GG7" s="61">
        <f t="shared" si="22"/>
        <v>0.58550544015081374</v>
      </c>
      <c r="GH7" s="61">
        <f t="shared" si="22"/>
        <v>0</v>
      </c>
      <c r="GI7" s="61">
        <f t="shared" si="22"/>
        <v>1.391865291295836</v>
      </c>
      <c r="GJ7" s="61">
        <f t="shared" si="99"/>
        <v>22.739763411636474</v>
      </c>
      <c r="GK7" s="61">
        <f t="shared" si="100"/>
        <v>0.52047317672705162</v>
      </c>
      <c r="GM7" s="89">
        <f>FW7</f>
        <v>6.2066695193616894</v>
      </c>
      <c r="GN7" s="89">
        <f>IF(GM7&lt;8,IF((8-GM7)&lt;FY7,(8-GM7),FY7),0)</f>
        <v>1.7933304806383106</v>
      </c>
      <c r="GO7" s="89">
        <f>IF((GN7+GM7)&lt;8,IF((8-GN7-GM7)&gt;FX7,FX7,(8-(GN7+GM7))),0)</f>
        <v>0</v>
      </c>
      <c r="GP7" s="88">
        <f t="shared" si="101"/>
        <v>8</v>
      </c>
      <c r="GQ7" s="89">
        <f>IF((FY7-GN7)&gt;0,(FY7-GN7),0)</f>
        <v>0.45862235445526567</v>
      </c>
      <c r="GR7" s="89">
        <f>IF(GQ7+FX7&lt;5,FX7,5-GQ7)</f>
        <v>0.17939763529949562</v>
      </c>
      <c r="GS7" s="89">
        <f>IF(GQ7+GR7+FZ7&lt;5,FZ7,5-GR7-GQ7)</f>
        <v>4.3330253245715863E-2</v>
      </c>
      <c r="GT7" s="89">
        <f>GK7</f>
        <v>0.52047317672705162</v>
      </c>
      <c r="GU7" s="89">
        <f>IF(SUM(GQ7:GT7)&lt;5,IF((SUM(GQ7:GT7)+GB7)&lt;5,GB7,5-SUM(GQ7:GT7)),0)</f>
        <v>3.3602870391031971</v>
      </c>
      <c r="GV7" s="89">
        <f>IF(SUM(GQ7:GU7)&lt;5,IF((SUM(GQ7:GU7)+(GA7-GT7))&lt;5,GA7-GT7,5-SUM(GQ7:GU7)),0)</f>
        <v>0.43788954116927403</v>
      </c>
      <c r="GW7" s="89">
        <f>IF(SUM(GQ7:GV7)&lt;5,IF((SUM(GQ7:GV7)+GD7)&lt;5,GD7,5-SUM(GQ7:GV7)),0)</f>
        <v>0</v>
      </c>
      <c r="GX7" s="88">
        <f t="shared" si="102"/>
        <v>5</v>
      </c>
      <c r="GY7" s="89">
        <f>IF((GB7-GU7)&gt;0,(GB7-GU7),0)</f>
        <v>0</v>
      </c>
      <c r="GZ7" s="89">
        <f>IF((GA7-GV7-GT7)&gt;0,(GA7-GV7-GT7),0)</f>
        <v>9.4634259657754738E-2</v>
      </c>
      <c r="HA7" s="89">
        <f>IF((GD7-GW7)&gt;0,(GD7-GW7),0)</f>
        <v>1.2545366070330377E-2</v>
      </c>
      <c r="HB7" s="89">
        <f>GC7</f>
        <v>1.5806141154656206</v>
      </c>
      <c r="HC7" s="89">
        <f>IF((SUM(GY7:HB7)&lt;2),IF((2-(GY7+GZ7+HA7+HB7))&lt;GE7,(2-SUM(GY7:HB7)),GE7),0)</f>
        <v>0.31220625880629438</v>
      </c>
      <c r="HD7" s="88">
        <f t="shared" si="103"/>
        <v>2</v>
      </c>
      <c r="HE7" s="89">
        <f>GE7-HC7</f>
        <v>0.42011245754103421</v>
      </c>
      <c r="HF7" s="89">
        <f>GF7</f>
        <v>0.30420322687653983</v>
      </c>
      <c r="HG7" s="89">
        <f t="shared" si="104"/>
        <v>0.72431568441757399</v>
      </c>
      <c r="HH7" s="97" t="str">
        <f t="shared" si="23"/>
        <v>Pass</v>
      </c>
      <c r="HI7" s="84">
        <f t="shared" ref="HI7" si="108">(GU7+GY7)/(GY7+GU7+GV7+GZ7)</f>
        <v>0.86320326809494463</v>
      </c>
      <c r="HJ7" s="84">
        <f t="shared" ref="HJ7" si="109">HF7+HE7</f>
        <v>0.72431568441757399</v>
      </c>
      <c r="HK7" s="84">
        <f t="shared" ref="HK7" si="110">GR7+GO7</f>
        <v>0.17939763529949562</v>
      </c>
      <c r="HL7" s="84">
        <f t="shared" ref="HL7" si="111">GM7</f>
        <v>6.2066695193616894</v>
      </c>
      <c r="HM7" s="97" t="str">
        <f t="shared" si="24"/>
        <v>MgHst</v>
      </c>
      <c r="HP7" s="98">
        <f>parameters!$E$5+parameters!$F$5*calcs!$Q7 +parameters!$G$5*calcs!$GM7+parameters!$H$5*LN(calcs!$GM7)+parameters!$I$5*calcs!$GQ7+parameters!$J$5*(calcs!$GU7+calcs!$GY7) + parameters!$K$5*calcs!$GT7+parameters!$L$5*(calcs!$GV7+calcs!$GZ7)+parameters!$M$5*(calcs!$GT7+calcs!$GV7+calcs!$GZ7)+parameters!$N$5*(calcs!$GO7+calcs!$GR7)+parameters!$O$5*calcs!$HB7+parameters!$P$5*calcs!$HE7</f>
        <v>49.652316624667179</v>
      </c>
      <c r="HQ7" s="98">
        <f>parameters!$E$6+parameters!$F$6*calcs!$Q7 +parameters!$G$6*calcs!$GM7+parameters!$H$6*LN(calcs!$GM7)+parameters!$I$6*calcs!$GQ7+parameters!$J$6*(calcs!$GU7+calcs!$GY7) + parameters!$K$6*calcs!$GT7+parameters!$L$6*(calcs!$GV7+calcs!$GZ7)+parameters!$M$6*(calcs!$GT7+calcs!$GV7+calcs!$GZ7)+parameters!$N$6*(calcs!$GO7+calcs!$GR7)+parameters!$O$6*calcs!$HB7+parameters!$P$6*calcs!$HE7</f>
        <v>53.143670923312328</v>
      </c>
      <c r="HR7" s="98">
        <f>parameters!$E$7+parameters!$F$7*calcs!$Q7 +parameters!$G$7*calcs!$GM7+parameters!$H$7*LN(calcs!$GM7)+parameters!$I$7*calcs!$GQ7+parameters!$J$7*(calcs!$GU7+calcs!$GY7) + parameters!$K$7*calcs!$GT7+parameters!$L$7*(calcs!$GV7+calcs!$GZ7)+parameters!$M$7*(calcs!$GT7+calcs!$GV7+calcs!$GZ7)+parameters!$N$7*(calcs!$GO7+calcs!$GR7)+parameters!$O$7*calcs!$HB7+parameters!$P$7*calcs!$HE7</f>
        <v>60.152620926481887</v>
      </c>
      <c r="HS7" s="98">
        <f>parameters!$E$8+parameters!$F$8*calcs!$Q7 +parameters!$G$8*calcs!$GM7+parameters!$H$8*LN(calcs!$GM7)+parameters!$I$8*calcs!$GQ7+parameters!$J$8*(calcs!$GU7+calcs!$GY7) + parameters!$K$8*calcs!$GT7+parameters!$L$8*(calcs!$GV7+calcs!$GZ7)+parameters!$M$8*(calcs!$GT7+calcs!$GV7+calcs!$GZ7)+parameters!$N$8*(calcs!$GO7+calcs!$GR7)+parameters!$O$8*calcs!$HB7+parameters!$P$8*calcs!$HE7</f>
        <v>59.162915732469472</v>
      </c>
      <c r="HT7" s="82"/>
      <c r="HU7" s="98">
        <f>EXP(parameters!$E$10+parameters!$F$10*calcs!$Q7 +parameters!$G$10*calcs!$GM7+parameters!$H$10*LN(calcs!$GM7)+parameters!$I$10*calcs!$GQ7+parameters!$J$10*(calcs!$GU7+calcs!$GY7) + parameters!$K$10*calcs!$GT7+parameters!$L$10*(calcs!$GV7+calcs!$GZ7)+parameters!$M$10*(calcs!$GT7+calcs!$GV7+calcs!$GZ7)+parameters!$N$10*(calcs!$GO7+calcs!$GR7)+parameters!$O$10*calcs!$HB7+parameters!$P$10*calcs!$HE7)</f>
        <v>1.1754171879663506</v>
      </c>
      <c r="HV7" s="98">
        <f>EXP(parameters!$E$11+parameters!$F$11*calcs!$Q7 +parameters!$G$11*calcs!$GM7+parameters!$H$11*LN(calcs!$GM7)+parameters!$I$11*calcs!$GQ7+parameters!$J$11*(calcs!$GU7+calcs!$GY7) + parameters!$K$11*calcs!$GT7+parameters!$L$11*(calcs!$GV7+calcs!$GZ7)+parameters!$M$11*(calcs!$GT7+calcs!$GV7+calcs!$GZ7)+parameters!$N$11*(calcs!$GO7+calcs!$GR7)+parameters!$O$11*calcs!$HB7+parameters!$P$11*calcs!$HE7)</f>
        <v>1.3674324624484095</v>
      </c>
      <c r="HW7" s="74"/>
      <c r="HX7" s="98">
        <f>EXP(parameters!$E$13+parameters!$F$13*calcs!$Q7 +parameters!$G$13*calcs!$GM7+parameters!$H$13*LN(calcs!$GM7)+parameters!$I$13*calcs!$GQ7+parameters!$J$13*(calcs!$GU7+calcs!$GY7) + parameters!$K$13*calcs!$GT7+parameters!$L$13*(calcs!$GV7+calcs!$GZ7)+parameters!$M$13*(calcs!$GT7+calcs!$GV7+calcs!$GZ7)+parameters!$N$13*(calcs!$GO7+calcs!$GR7)+parameters!$O$13*calcs!$HB7+parameters!$P$13*calcs!$HE7)</f>
        <v>7.7735410461394663</v>
      </c>
      <c r="HY7" s="98">
        <f>EXP(parameters!$E$14+parameters!$F$14*calcs!$Q7 +parameters!$G$14*calcs!$GM7+parameters!$H$14*LN(calcs!$GM7)+parameters!$I$14*calcs!$GQ7+parameters!$J$14*(calcs!$GU7+calcs!$GY7) + parameters!$K$14*calcs!$GT7+parameters!$L$14*(calcs!$GV7+calcs!$GZ7)+parameters!$M$14*(calcs!$GT7+calcs!$GV7+calcs!$GZ7)+parameters!$N$14*(calcs!$GO7+calcs!$GR7)+parameters!$O$14*calcs!$HB7+parameters!$P$14*calcs!$HE7)</f>
        <v>6.0163174542241977</v>
      </c>
      <c r="HZ7" s="82"/>
      <c r="IA7" s="98">
        <f>EXP(parameters!$E$16+parameters!$F$16*calcs!$Q7 +parameters!$G$16*calcs!$GM7+parameters!$H$16*LN(calcs!$GM7)+parameters!$I$16*calcs!$GQ7+parameters!$J$16*(calcs!$GU7+calcs!$GY7) + parameters!$K$16*calcs!$GT7+parameters!$L$16*(calcs!$GV7+calcs!$GZ7)+parameters!$M$16*(calcs!$GT7+calcs!$GV7+calcs!$GZ7)+parameters!$N$16*(calcs!$GO7+calcs!$GR7)+parameters!$O$16*calcs!$HB7+parameters!$P$16*calcs!$HE7)</f>
        <v>2.838134214303099</v>
      </c>
      <c r="IB7" s="82"/>
      <c r="IC7" s="98">
        <f>(parameters!$E$18+parameters!$F$18*calcs!$Q7 +parameters!$G$18*calcs!$GM7+parameters!$H$18*LN(calcs!$GM7)+parameters!$I$18*calcs!$GQ7+parameters!$J$18*(calcs!$GU7+calcs!$GY7) + parameters!$K$18*calcs!$GT7+parameters!$L$18*(calcs!$GV7+calcs!$GZ7)+parameters!$M$18*(calcs!$GT7+calcs!$GV7+calcs!$GZ7)+parameters!$N$18*(calcs!$GO7+calcs!$GR7)+parameters!$O$18*calcs!$HB7+parameters!$P$18*calcs!$HE7)</f>
        <v>6.7348654381158042</v>
      </c>
      <c r="ID7" s="98">
        <f>EXP(parameters!$E$19+parameters!$F$19*calcs!$Q7 +parameters!$G$19*calcs!$GM7+parameters!$H$19*LN(calcs!$GM7)+parameters!$I$19*calcs!$GQ7+parameters!$J$19*(calcs!$GU7+calcs!$GY7) + parameters!$K$19*calcs!$GT7+parameters!$L$19*(calcs!$GV7+calcs!$GZ7)+parameters!$M$19*(calcs!$GT7+calcs!$GV7+calcs!$GZ7)+parameters!$N$19*(calcs!$GO7+calcs!$GR7)+parameters!$O$19*calcs!$HB7+parameters!$P$19*calcs!$HE7)</f>
        <v>7.5052480095322291</v>
      </c>
      <c r="IE7" s="74"/>
      <c r="IF7" s="98">
        <f>(parameters!$E$21+parameters!$F$21*calcs!$Q7 +parameters!$G$21*calcs!$GM7+parameters!$H$21*LN(calcs!$GM7)+parameters!$I$21*calcs!$GQ7+parameters!$J$21*(calcs!$GU7+calcs!$GY7) + parameters!$K$21*calcs!$GT7+parameters!$L$21*(calcs!$GV7+calcs!$GZ7)+parameters!$M$21*(calcs!$GT7+calcs!$GV7+calcs!$GZ7)+parameters!$N$21*(calcs!$GO7+calcs!$GR7)+parameters!$O$21*calcs!$HB7+parameters!$P$21*calcs!$HE7)</f>
        <v>2.7651817815426711</v>
      </c>
      <c r="IG7" s="98">
        <f>(parameters!$E$22+parameters!$F$22*calcs!$Q7 +parameters!$G$22*calcs!$GM7+parameters!$H$22*LN(calcs!$GM7)+parameters!$I$22*calcs!$GQ7+parameters!$J$22*(calcs!$GU7+calcs!$GY7) + parameters!$K$22*calcs!$GT7+parameters!$L$22*(calcs!$GV7+calcs!$GZ7)+parameters!$M$22*(calcs!$GT7+calcs!$GV7+calcs!$GZ7)+parameters!$N$22*(calcs!$GO7+calcs!$GR7)+parameters!$O$22*calcs!$HB7+parameters!$P$22*calcs!$HE7)</f>
        <v>0.84562322898008002</v>
      </c>
      <c r="IH7" s="82"/>
      <c r="II7" s="98">
        <f>(parameters!$E$24+parameters!$F$24*calcs!$Q7 +parameters!$G$24*calcs!$GM7+parameters!$H$24*LN(calcs!$GM7)+parameters!$I$24*calcs!$GQ7+parameters!$J$24*(calcs!$GU7+calcs!$GY7) + parameters!$K$24*calcs!$GT7+parameters!$L$24*(calcs!$GV7+calcs!$GZ7)+parameters!$M$24*(calcs!$GT7+calcs!$GV7+calcs!$GZ7)+parameters!$N$24*(calcs!$GO7+calcs!$GR7)+parameters!$O$24*calcs!$HB7+parameters!$P$24*calcs!$HE7)</f>
        <v>17.576238494394126</v>
      </c>
      <c r="IJ7" s="99"/>
    </row>
    <row r="8" spans="1:244" s="61" customFormat="1" x14ac:dyDescent="0.25">
      <c r="A8" s="100" t="s">
        <v>113</v>
      </c>
      <c r="B8" s="91" t="str">
        <f>HM8</f>
        <v>Tsch</v>
      </c>
      <c r="C8" s="92">
        <v>41.880001068115199</v>
      </c>
      <c r="D8" s="92">
        <v>2.5599999427795401</v>
      </c>
      <c r="E8" s="92">
        <v>14.319999694824199</v>
      </c>
      <c r="F8" s="92"/>
      <c r="G8" s="92">
        <v>16.110000610351602</v>
      </c>
      <c r="H8" s="92">
        <v>10.1300001144409</v>
      </c>
      <c r="I8" s="92">
        <v>10.829999923706101</v>
      </c>
      <c r="J8" s="92">
        <v>0.239999994635582</v>
      </c>
      <c r="K8" s="92">
        <v>2.4100000858306898</v>
      </c>
      <c r="L8" s="92">
        <v>0.129999995231628</v>
      </c>
      <c r="M8" s="92">
        <v>0</v>
      </c>
      <c r="N8" s="92">
        <v>0</v>
      </c>
      <c r="O8" s="92">
        <v>0</v>
      </c>
      <c r="P8" s="92">
        <v>98.610001429915442</v>
      </c>
      <c r="Q8" s="61">
        <v>900</v>
      </c>
      <c r="R8" s="93">
        <f t="shared" ref="R8:AC9" si="112">C8/C$3</f>
        <v>0.69707059034812247</v>
      </c>
      <c r="S8" s="94">
        <f t="shared" si="112"/>
        <v>3.205208392111606E-2</v>
      </c>
      <c r="T8" s="94">
        <f t="shared" si="112"/>
        <v>0.14044557826726439</v>
      </c>
      <c r="U8" s="94">
        <f t="shared" si="112"/>
        <v>0</v>
      </c>
      <c r="V8" s="94">
        <f t="shared" si="112"/>
        <v>0.22424833811736639</v>
      </c>
      <c r="W8" s="94">
        <f t="shared" si="112"/>
        <v>0.25130240918980151</v>
      </c>
      <c r="X8" s="94">
        <f t="shared" si="112"/>
        <v>0.19311697438848255</v>
      </c>
      <c r="Y8" s="94">
        <f t="shared" si="112"/>
        <v>3.3831406066476177E-3</v>
      </c>
      <c r="Z8" s="94">
        <f t="shared" si="112"/>
        <v>3.8884139560668773E-2</v>
      </c>
      <c r="AA8" s="94">
        <f t="shared" si="112"/>
        <v>1.379992603575115E-3</v>
      </c>
      <c r="AB8" s="94">
        <f t="shared" si="112"/>
        <v>0</v>
      </c>
      <c r="AC8" s="95">
        <f t="shared" si="112"/>
        <v>0</v>
      </c>
      <c r="AD8" s="93">
        <f>R8*2</f>
        <v>1.3941411806962449</v>
      </c>
      <c r="AE8" s="94">
        <f>S8*2</f>
        <v>6.4104167842232121E-2</v>
      </c>
      <c r="AF8" s="94">
        <f>T8*3</f>
        <v>0.42133673480179318</v>
      </c>
      <c r="AG8" s="94">
        <f>U8*3</f>
        <v>0</v>
      </c>
      <c r="AH8" s="94">
        <f t="shared" ref="AH8:AM9" si="113">V8</f>
        <v>0.22424833811736639</v>
      </c>
      <c r="AI8" s="94">
        <f t="shared" si="113"/>
        <v>0.25130240918980151</v>
      </c>
      <c r="AJ8" s="94">
        <f t="shared" si="113"/>
        <v>0.19311697438848255</v>
      </c>
      <c r="AK8" s="94">
        <f t="shared" si="113"/>
        <v>3.3831406066476177E-3</v>
      </c>
      <c r="AL8" s="94">
        <f t="shared" si="113"/>
        <v>3.8884139560668773E-2</v>
      </c>
      <c r="AM8" s="94">
        <f t="shared" si="113"/>
        <v>1.379992603575115E-3</v>
      </c>
      <c r="AN8" s="95">
        <f>SUM(AD8:AM8)</f>
        <v>2.591897077806812</v>
      </c>
      <c r="AO8" s="93">
        <f t="shared" ref="AO8:AX9" si="114">AD8*23/$AN8</f>
        <v>12.371342763018319</v>
      </c>
      <c r="AP8" s="94">
        <f t="shared" si="114"/>
        <v>0.56884815103033703</v>
      </c>
      <c r="AQ8" s="94">
        <f t="shared" si="114"/>
        <v>3.7388617717186792</v>
      </c>
      <c r="AR8" s="94">
        <f t="shared" si="114"/>
        <v>0</v>
      </c>
      <c r="AS8" s="94">
        <f t="shared" si="114"/>
        <v>1.989936954234206</v>
      </c>
      <c r="AT8" s="94">
        <f t="shared" si="114"/>
        <v>2.2300096176103819</v>
      </c>
      <c r="AU8" s="94">
        <f t="shared" si="114"/>
        <v>1.7136831739837171</v>
      </c>
      <c r="AV8" s="94">
        <f t="shared" si="114"/>
        <v>3.0021344064609871E-2</v>
      </c>
      <c r="AW8" s="94">
        <f t="shared" si="114"/>
        <v>0.34505043334982355</v>
      </c>
      <c r="AX8" s="94">
        <f t="shared" si="114"/>
        <v>1.2245790989928108E-2</v>
      </c>
      <c r="AY8" s="95">
        <f>SUM(AO8:AX8)</f>
        <v>23.000000000000004</v>
      </c>
      <c r="AZ8" s="93">
        <f>AO8/2</f>
        <v>6.1856713815091595</v>
      </c>
      <c r="BA8" s="94">
        <f>AP8/2</f>
        <v>0.28442407551516852</v>
      </c>
      <c r="BB8" s="94">
        <f>AQ8*2/3</f>
        <v>2.4925745144791196</v>
      </c>
      <c r="BC8" s="94">
        <f>AR8*2/3</f>
        <v>0</v>
      </c>
      <c r="BD8" s="94">
        <f t="shared" ref="BD8:BG9" si="115">AS8</f>
        <v>1.989936954234206</v>
      </c>
      <c r="BE8" s="94">
        <f t="shared" si="115"/>
        <v>2.2300096176103819</v>
      </c>
      <c r="BF8" s="94">
        <f t="shared" si="115"/>
        <v>1.7136831739837171</v>
      </c>
      <c r="BG8" s="94">
        <f t="shared" si="115"/>
        <v>3.0021344064609871E-2</v>
      </c>
      <c r="BH8" s="94">
        <f>AW8*2</f>
        <v>0.6901008666996471</v>
      </c>
      <c r="BI8" s="94">
        <f>AX8*2</f>
        <v>2.4491581979856215E-2</v>
      </c>
      <c r="BJ8" s="94">
        <f>AB8*23/$AN8</f>
        <v>0</v>
      </c>
      <c r="BK8" s="94">
        <f>AC8*23/$AN8</f>
        <v>0</v>
      </c>
      <c r="BL8" s="94">
        <f>2-BJ8-BK8</f>
        <v>2</v>
      </c>
      <c r="BM8" s="95">
        <f>SUM(AZ8:BI8)</f>
        <v>15.640913510075865</v>
      </c>
      <c r="BN8" s="96">
        <f>AZ8</f>
        <v>6.1856713815091595</v>
      </c>
      <c r="BO8" s="67">
        <f>IF(BN8&lt;8,IF((8-BN8)&lt;BB8,(8-BN8),BB8),0)</f>
        <v>1.8143286184908405</v>
      </c>
      <c r="BP8" s="67">
        <f>IF((BO8+BN8)&lt;8,8-(BO8+BN8),0)</f>
        <v>0</v>
      </c>
      <c r="BQ8" s="67">
        <f>SUM(BN8:BP8)</f>
        <v>8</v>
      </c>
      <c r="BR8" s="67">
        <f>IF((BB8-BO8)&gt;0,(BB8-BO8),0)</f>
        <v>0.67824589598827911</v>
      </c>
      <c r="BS8" s="67">
        <f>IF(BR8+BA8&lt;5,BA8,5-BR8)</f>
        <v>0.28442407551516852</v>
      </c>
      <c r="BT8" s="67">
        <f>IF(BR8+BS8+BC8&lt;5,BC8,5-BS8-BR8)</f>
        <v>0</v>
      </c>
      <c r="BU8" s="67"/>
      <c r="BV8" s="67">
        <f>IF(SUM(BR8:BU8)&lt;5,IF((SUM(BR8:BU8)+BE8)&lt;5,BE8,5-SUM(BR8:BU8)),0)</f>
        <v>2.2300096176103819</v>
      </c>
      <c r="BW8" s="67">
        <f>IF(SUM(BR8:BV8)&lt;5,IF((SUM(BR8:BV8)+BD8)&lt;5,BD8,5-SUM(BR8:BV8)),0)</f>
        <v>1.8073204108861702</v>
      </c>
      <c r="BX8" s="67">
        <f>IF(SUM(BR8:BW8)&lt;5,IF((SUM(BR8:BW8)+BG8)&lt;5,BG8,5-SUM(BR8:BW8)),0)</f>
        <v>0</v>
      </c>
      <c r="BY8" s="67">
        <f>SUM(BR8:BX8)</f>
        <v>5</v>
      </c>
      <c r="BZ8" s="67">
        <f>IF((BE8-BV8)&gt;0,(BE8-BV8),0)</f>
        <v>0</v>
      </c>
      <c r="CA8" s="67">
        <f>IF((BD8-BW8)&gt;0,(BD8-BW8),0)</f>
        <v>0.18261654334803579</v>
      </c>
      <c r="CB8" s="67">
        <f>IF((BG8-BX8)&gt;0,(BG8-BX8),0)</f>
        <v>3.0021344064609871E-2</v>
      </c>
      <c r="CC8" s="67">
        <f>BF8</f>
        <v>1.7136831739837171</v>
      </c>
      <c r="CD8" s="57">
        <f>IF((SUM(BZ8:CC8)&lt;2),IF((2-(BZ8+CA8+CB8+CC8))&lt;BF8,(2-SUM(BZ8:CC8)),BF8),0)</f>
        <v>7.3678938603637167E-2</v>
      </c>
      <c r="CE8" s="67">
        <f>SUM(BZ8:CD8)</f>
        <v>2</v>
      </c>
      <c r="CF8" s="67">
        <f>BH8-CD8</f>
        <v>0.61642192809600993</v>
      </c>
      <c r="CG8" s="67">
        <f>BI8</f>
        <v>2.4491581979856215E-2</v>
      </c>
      <c r="CH8" s="68">
        <f>SUM(CF8:CG8)</f>
        <v>0.64091351007586617</v>
      </c>
      <c r="CJ8" s="61">
        <f>8/AZ8</f>
        <v>1.2933115108433366</v>
      </c>
      <c r="CK8" s="61">
        <f>16/SUM(AZ8:BI8)</f>
        <v>1.0229581532877099</v>
      </c>
      <c r="CL8" s="61">
        <f>15/SUM(AZ8:BG8)</f>
        <v>1.0049361753844483</v>
      </c>
      <c r="CN8" s="61">
        <f>IF(MIN(CJ8:CL8)&lt;1,MIN(CJ8:CL8),1)</f>
        <v>1</v>
      </c>
      <c r="CO8" s="61">
        <f t="shared" ref="CO8:DA9" si="116">$CN8*AZ8</f>
        <v>6.1856713815091595</v>
      </c>
      <c r="CP8" s="61">
        <f t="shared" si="116"/>
        <v>0.28442407551516852</v>
      </c>
      <c r="CQ8" s="61">
        <f t="shared" si="116"/>
        <v>2.4925745144791196</v>
      </c>
      <c r="CR8" s="61">
        <f t="shared" si="116"/>
        <v>0</v>
      </c>
      <c r="CS8" s="61">
        <f t="shared" si="116"/>
        <v>1.989936954234206</v>
      </c>
      <c r="CT8" s="61">
        <f t="shared" si="116"/>
        <v>2.2300096176103819</v>
      </c>
      <c r="CU8" s="61">
        <f t="shared" si="116"/>
        <v>1.7136831739837171</v>
      </c>
      <c r="CV8" s="61">
        <f t="shared" si="116"/>
        <v>3.0021344064609871E-2</v>
      </c>
      <c r="CW8" s="61">
        <f t="shared" si="116"/>
        <v>0.6901008666996471</v>
      </c>
      <c r="CX8" s="61">
        <f t="shared" si="116"/>
        <v>2.4491581979856215E-2</v>
      </c>
      <c r="CY8" s="61">
        <f t="shared" si="116"/>
        <v>0</v>
      </c>
      <c r="CZ8" s="61">
        <f t="shared" si="116"/>
        <v>0</v>
      </c>
      <c r="DA8" s="61">
        <f t="shared" si="116"/>
        <v>2</v>
      </c>
      <c r="DB8" s="61">
        <f>CO8*2+CP8*2+CQ8*3/2+CR8*3/2+CS8+CT8+CU8+CV8+CW8/2+CX8/2</f>
        <v>23.000000000000004</v>
      </c>
      <c r="DC8" s="61">
        <f>(23-DB8)*2</f>
        <v>-7.1054273576010019E-15</v>
      </c>
      <c r="DD8" s="61" t="str">
        <f>IF(DC8&gt;BD8,"FAIL","")</f>
        <v/>
      </c>
      <c r="DE8" s="60">
        <f>CO8</f>
        <v>6.1856713815091595</v>
      </c>
      <c r="DF8" s="60">
        <f>IF(DE8&lt;8,IF((8-DE8)&lt;CQ8,(8-DE8),CQ8),0)</f>
        <v>1.8143286184908405</v>
      </c>
      <c r="DG8" s="60">
        <f>IF((DF8+DE8)&lt;8,IF((8-DF8-DE8)&gt;CP8,CP8,(8-(DF8+DE8))),0)</f>
        <v>0</v>
      </c>
      <c r="DH8" s="60">
        <f>SUM(DE8:DG8)</f>
        <v>8</v>
      </c>
      <c r="DI8" s="60">
        <f>IF((CQ8-DF8)&gt;0,(CQ8-DF8),0)</f>
        <v>0.67824589598827911</v>
      </c>
      <c r="DJ8" s="60">
        <f>IF(DI8+CP8&lt;5,CP8,5-DI8)</f>
        <v>0.28442407551516852</v>
      </c>
      <c r="DK8" s="60">
        <f>IF(DI8+DJ8+CR8&lt;5,CR8,5-DJ8-DI8)</f>
        <v>0</v>
      </c>
      <c r="DL8" s="60">
        <f>DC8</f>
        <v>-7.1054273576010019E-15</v>
      </c>
      <c r="DM8" s="60">
        <f>IF(SUM(DI8:DL8)&lt;5,IF((SUM(DI8:DL8)+CT8)&lt;5,CT8,5-SUM(DI8:DL8)),0)</f>
        <v>2.2300096176103819</v>
      </c>
      <c r="DN8" s="60">
        <f>IF(SUM(DI8:DM8)&lt;5,IF((SUM(DI8:DM8)+CS8-DC8)&lt;5,CS8-DC8,5-SUM(DI8:DM8)),0)</f>
        <v>1.8073204108861773</v>
      </c>
      <c r="DO8" s="60">
        <f>IF(SUM(DI8:DN8)&lt;5,IF((SUM(DI8:DN8)+CV8)&lt;5,CV8,5-SUM(DI8:DN8)),0)</f>
        <v>0</v>
      </c>
      <c r="DP8" s="60">
        <f>SUM(DI8:DO8)</f>
        <v>5</v>
      </c>
      <c r="DQ8" s="60">
        <f>IF((CT8-DM8)&gt;0,(CT8-DM8),0)</f>
        <v>0</v>
      </c>
      <c r="DR8" s="60">
        <f>IF((CS8-DN8-DL8)&gt;0,(CS8-DN8-DL8),0)</f>
        <v>0.18261654334803579</v>
      </c>
      <c r="DS8" s="60">
        <f>IF((CV8-DO8)&gt;0,(CV8-DO8),0)</f>
        <v>3.0021344064609871E-2</v>
      </c>
      <c r="DT8" s="60">
        <f>CU8</f>
        <v>1.7136831739837171</v>
      </c>
      <c r="DU8" s="60">
        <f>IF((SUM(DQ8:DT8)&lt;2),IF((2-(DQ8+DR8+DS8+DT8))&lt;CW8,(2-SUM(DQ8:DT8)),CW8),0)</f>
        <v>7.3678938603637167E-2</v>
      </c>
      <c r="DV8" s="60">
        <f>SUM(DQ8:DU8)</f>
        <v>2</v>
      </c>
      <c r="DW8" s="60">
        <f>CW8-DU8</f>
        <v>0.61642192809600993</v>
      </c>
      <c r="DX8" s="60">
        <f>CY8</f>
        <v>0</v>
      </c>
      <c r="DY8" s="60">
        <f>SUM(DW8:DX8)</f>
        <v>0.61642192809600993</v>
      </c>
      <c r="EA8" s="61">
        <f>8/(AZ8+BB8)</f>
        <v>0.9218452779378129</v>
      </c>
      <c r="EB8" s="61">
        <f>15/SUM(AZ8:BH8)</f>
        <v>0.96052732623809389</v>
      </c>
      <c r="EC8" s="61">
        <f>13/SUM(AZ8:BG8)</f>
        <v>0.87094468533318847</v>
      </c>
      <c r="ED8" s="61">
        <f>23/(23+(0.5*BD8))</f>
        <v>0.95853428696662146</v>
      </c>
      <c r="EF8" s="61">
        <f>MAX(EA8:ED8)</f>
        <v>0.96052732623809389</v>
      </c>
      <c r="EG8" s="61">
        <f t="shared" ref="EG8:ES9" si="117">$EF8*AZ8</f>
        <v>5.9415063930684893</v>
      </c>
      <c r="EH8" s="61">
        <f t="shared" si="117"/>
        <v>0.27319709677232651</v>
      </c>
      <c r="EI8" s="61">
        <f t="shared" si="117"/>
        <v>2.3941859338418436</v>
      </c>
      <c r="EJ8" s="61">
        <f t="shared" si="117"/>
        <v>0</v>
      </c>
      <c r="EK8" s="61">
        <f t="shared" si="117"/>
        <v>1.9113888220329582</v>
      </c>
      <c r="EL8" s="61">
        <f t="shared" si="117"/>
        <v>2.1419851754885344</v>
      </c>
      <c r="EM8" s="61">
        <f t="shared" si="117"/>
        <v>1.64603951712579</v>
      </c>
      <c r="EN8" s="61">
        <f t="shared" si="117"/>
        <v>2.8836321344453589E-2</v>
      </c>
      <c r="EO8" s="61">
        <f t="shared" si="117"/>
        <v>0.66286074032560327</v>
      </c>
      <c r="EP8" s="61">
        <f t="shared" si="117"/>
        <v>2.3524833754452374E-2</v>
      </c>
      <c r="EQ8" s="61">
        <f t="shared" si="117"/>
        <v>0</v>
      </c>
      <c r="ER8" s="61">
        <f t="shared" si="117"/>
        <v>0</v>
      </c>
      <c r="ES8" s="61">
        <f t="shared" si="117"/>
        <v>1.9210546524761878</v>
      </c>
      <c r="ET8" s="61">
        <f>EG8*2+EH8*2+EI8*3/2+EJ8*3/2+EK8+EL8+EM8+EN8+EO8/2+EP8/2</f>
        <v>22.092128503476161</v>
      </c>
      <c r="EU8" s="61">
        <f>(23-ET8)*2</f>
        <v>1.8157429930476781</v>
      </c>
      <c r="EV8" s="61" t="str">
        <f>IF(EU8&gt;BD8,"FAIL","")</f>
        <v/>
      </c>
      <c r="EW8" s="63">
        <f>EG8</f>
        <v>5.9415063930684893</v>
      </c>
      <c r="EX8" s="63">
        <f>IF(EW8&lt;8,IF((8-EW8)&lt;EI8,(8-EW8),EI8),0)</f>
        <v>2.0584936069315107</v>
      </c>
      <c r="EY8" s="63">
        <f>IF((EX8+EW8)&lt;8,IF((8-EX8-EW8)&gt;EH8,EH8,(8-(EX8+EW8))),0)</f>
        <v>0</v>
      </c>
      <c r="EZ8" s="63">
        <f>SUM(EW8:EY8)</f>
        <v>8</v>
      </c>
      <c r="FA8" s="63">
        <f>IF((EI8-EX8)&gt;0,(EI8-EX8),0)</f>
        <v>0.33569232691033291</v>
      </c>
      <c r="FB8" s="63">
        <f>IF(FA8+EH8&lt;5,EH8,5-FA8)</f>
        <v>0.27319709677232651</v>
      </c>
      <c r="FC8" s="63">
        <f>IF(FA8+FB8+EJ8&lt;5,EJ8,5-FB8-FA8)</f>
        <v>0</v>
      </c>
      <c r="FD8" s="63">
        <f>EU8</f>
        <v>1.8157429930476781</v>
      </c>
      <c r="FE8" s="63">
        <f>IF(SUM(FA8:FD8)&lt;5,IF((SUM(FA8:FD8)+EL8)&lt;5,EL8,5-SUM(FA8:FD8)),0)</f>
        <v>2.1419851754885344</v>
      </c>
      <c r="FF8" s="63">
        <f>IF(SUM(FA8:FE8)&lt;5,IF((SUM(FA8:FE8)+(EK8-EU8))&lt;5,EK8-EU8,5-SUM(FA8:FE8)),0)</f>
        <v>9.5645828985280179E-2</v>
      </c>
      <c r="FG8" s="63">
        <f>IF(SUM(FA8:FF8)&lt;5,IF((SUM(FA8:FF8)+EN8)&lt;5,EN8,5-SUM(FA8:FF8)),0)</f>
        <v>2.8836321344453589E-2</v>
      </c>
      <c r="FH8" s="63">
        <f>SUM(FA8:FG8)</f>
        <v>4.6910997425486052</v>
      </c>
      <c r="FI8" s="63">
        <f>IF((EL8-FE8)&gt;0,(EL8-FE8),0)</f>
        <v>0</v>
      </c>
      <c r="FJ8" s="63">
        <f>IF((EK8-FF8-FD8)&gt;0,(EK8-FF8-FD8),0)</f>
        <v>0</v>
      </c>
      <c r="FK8" s="63">
        <f>IF((EN8-FG8)&gt;0,(EN8-FG8),0)</f>
        <v>0</v>
      </c>
      <c r="FL8" s="63">
        <f>EM8</f>
        <v>1.64603951712579</v>
      </c>
      <c r="FM8" s="63">
        <f>IF((SUM(FI8:FL8)&lt;2),IF((2-(FI8+FJ8+FK8+FL8))&lt;EO8,(2-SUM(FI8:FL8)),EO8),0)</f>
        <v>0.35396048287421</v>
      </c>
      <c r="FN8" s="63">
        <f>SUM(FI8:FM8)</f>
        <v>2</v>
      </c>
      <c r="FO8" s="63">
        <f>EO8-FM8</f>
        <v>0.30890025745139327</v>
      </c>
      <c r="FP8" s="63">
        <f>EP8</f>
        <v>2.3524833754452374E-2</v>
      </c>
      <c r="FQ8" s="63">
        <f>SUM(FO8:FP8)</f>
        <v>0.33242509120584562</v>
      </c>
      <c r="FR8" s="63" t="str">
        <f>IF(OR(FD8&lt;0, FF8&lt;0, FO8&lt;0, FQ8&gt;1), "Fail", "Pass")</f>
        <v>Pass</v>
      </c>
      <c r="FS8" s="63" t="str">
        <f>IF(FL8&lt;1.5,"Low-Ca",IF(FR8="Fail","Invalid",IF(FB8&gt;0.5,"Kaersutite",IF(FQ8&lt;=0.5,IF(EW8&gt;=6.5,"Mg-Hbl","Tsch"),IF(FA8&lt;FD8,"Mg-Hst","Prg")))))</f>
        <v>Tsch</v>
      </c>
      <c r="FT8" s="61">
        <f>FE8/(FE8+FF8+FJ8)</f>
        <v>0.95725576344176033</v>
      </c>
      <c r="FV8" s="61">
        <f>AVERAGE(EF8,CN8)</f>
        <v>0.98026366311904689</v>
      </c>
      <c r="FW8" s="61">
        <f t="shared" ref="FW8:GI9" si="118">$FV8*AZ8</f>
        <v>6.0635888872888239</v>
      </c>
      <c r="FX8" s="61">
        <f t="shared" si="118"/>
        <v>0.27881058614374749</v>
      </c>
      <c r="FY8" s="61">
        <f t="shared" si="118"/>
        <v>2.4433802241604816</v>
      </c>
      <c r="FZ8" s="61">
        <f t="shared" si="118"/>
        <v>0</v>
      </c>
      <c r="GA8" s="61">
        <f t="shared" si="118"/>
        <v>1.9506628881335819</v>
      </c>
      <c r="GB8" s="61">
        <f t="shared" si="118"/>
        <v>2.1859973965494581</v>
      </c>
      <c r="GC8" s="61">
        <f t="shared" si="118"/>
        <v>1.6798613455547535</v>
      </c>
      <c r="GD8" s="61">
        <f t="shared" si="118"/>
        <v>2.942883270453173E-2</v>
      </c>
      <c r="GE8" s="61">
        <f t="shared" si="118"/>
        <v>0.67648080351262518</v>
      </c>
      <c r="GF8" s="61">
        <f t="shared" si="118"/>
        <v>2.4008207867154293E-2</v>
      </c>
      <c r="GG8" s="61">
        <f t="shared" si="118"/>
        <v>0</v>
      </c>
      <c r="GH8" s="61">
        <f t="shared" si="118"/>
        <v>0</v>
      </c>
      <c r="GI8" s="61">
        <f t="shared" si="118"/>
        <v>1.9605273262380938</v>
      </c>
      <c r="GJ8" s="61">
        <f>FW8*2+FX8*2+FY8*3/2+FZ8*3/2+GA8+GB8+GC8+GD8+GE8/2+GF8/2</f>
        <v>22.546064251738084</v>
      </c>
      <c r="GK8" s="61">
        <f>(23-GJ8)*2</f>
        <v>0.90787149652383192</v>
      </c>
      <c r="GM8" s="89">
        <f>FW8</f>
        <v>6.0635888872888239</v>
      </c>
      <c r="GN8" s="89">
        <f>IF(GM8&lt;8,IF((8-GM8)&lt;FY8,(8-GM8),FY8),0)</f>
        <v>1.9364111127111761</v>
      </c>
      <c r="GO8" s="89">
        <f>IF((GN8+GM8)&lt;8,IF((8-GN8-GM8)&gt;FX8,FX8,(8-(GN8+GM8))),0)</f>
        <v>0</v>
      </c>
      <c r="GP8" s="88">
        <f>SUM(GM8:GO8)</f>
        <v>8</v>
      </c>
      <c r="GQ8" s="89">
        <f>IF((FY8-GN8)&gt;0,(FY8-GN8),0)</f>
        <v>0.50696911144930557</v>
      </c>
      <c r="GR8" s="89">
        <f>IF(GQ8+FX8&lt;5,FX8,5-GQ8)</f>
        <v>0.27881058614374749</v>
      </c>
      <c r="GS8" s="89">
        <f>IF(GQ8+GR8+FZ8&lt;5,FZ8,5-GR8-GQ8)</f>
        <v>0</v>
      </c>
      <c r="GT8" s="89">
        <f>GK8</f>
        <v>0.90787149652383192</v>
      </c>
      <c r="GU8" s="89">
        <f>IF(SUM(GQ8:GT8)&lt;5,IF((SUM(GQ8:GT8)+GB8)&lt;5,GB8,5-SUM(GQ8:GT8)),0)</f>
        <v>2.1859973965494581</v>
      </c>
      <c r="GV8" s="89">
        <f>IF(SUM(GQ8:GU8)&lt;5,IF((SUM(GQ8:GU8)+(GA8-GT8))&lt;5,GA8-GT8,5-SUM(GQ8:GU8)),0)</f>
        <v>1.04279139160975</v>
      </c>
      <c r="GW8" s="89">
        <f>IF(SUM(GQ8:GV8)&lt;5,IF((SUM(GQ8:GV8)+GD8)&lt;5,GD8,5-SUM(GQ8:GV8)),0)</f>
        <v>2.942883270453173E-2</v>
      </c>
      <c r="GX8" s="88">
        <f>SUM(GQ8:GW8)</f>
        <v>4.9518688149806245</v>
      </c>
      <c r="GY8" s="89">
        <f>IF((GB8-GU8)&gt;0,(GB8-GU8),0)</f>
        <v>0</v>
      </c>
      <c r="GZ8" s="89">
        <f>IF((GA8-GV8-GT8)&gt;0,(GA8-GV8-GT8),0)</f>
        <v>0</v>
      </c>
      <c r="HA8" s="89">
        <f>IF((GD8-GW8)&gt;0,(GD8-GW8),0)</f>
        <v>0</v>
      </c>
      <c r="HB8" s="89">
        <f>GC8</f>
        <v>1.6798613455547535</v>
      </c>
      <c r="HC8" s="89">
        <f>IF((SUM(GY8:HB8)&lt;2),IF((2-(GY8+GZ8+HA8+HB8))&lt;GE8,(2-SUM(GY8:HB8)),GE8),0)</f>
        <v>0.32013865444524647</v>
      </c>
      <c r="HD8" s="88">
        <f>SUM(GY8:HC8)</f>
        <v>2</v>
      </c>
      <c r="HE8" s="89">
        <f>GE8-HC8</f>
        <v>0.35634214906737871</v>
      </c>
      <c r="HF8" s="89">
        <f>GF8</f>
        <v>2.4008207867154293E-2</v>
      </c>
      <c r="HG8" s="89">
        <f>SUM(HE8:HF8)</f>
        <v>0.38035035693453301</v>
      </c>
      <c r="HH8" s="97" t="str">
        <f>IF(OR(GT8&lt;0, GV8&lt;0, HE8&lt;0, HG8&gt;1), "Fail", "Pass")</f>
        <v>Pass</v>
      </c>
      <c r="HI8" s="84">
        <f>(GU8+GY8)/(GY8+GU8+GV8+GZ8)</f>
        <v>0.67703325921040991</v>
      </c>
      <c r="HJ8" s="84">
        <f>HF8+HE8</f>
        <v>0.38035035693453301</v>
      </c>
      <c r="HK8" s="84">
        <f>GR8+GO8</f>
        <v>0.27881058614374749</v>
      </c>
      <c r="HL8" s="84">
        <f>GM8</f>
        <v>6.0635888872888239</v>
      </c>
      <c r="HM8" s="97" t="str">
        <f t="shared" si="24"/>
        <v>Tsch</v>
      </c>
      <c r="HP8" s="98">
        <f>parameters!$E$5+parameters!$F$5*calcs!$Q8 +parameters!$G$5*calcs!$GM8+parameters!$H$5*LN(calcs!$GM8)+parameters!$I$5*calcs!$GQ8+parameters!$J$5*(calcs!$GU8+calcs!$GY8) + parameters!$K$5*calcs!$GT8+parameters!$L$5*(calcs!$GV8+calcs!$GZ8)+parameters!$M$5*(calcs!$GT8+calcs!$GV8+calcs!$GZ8)+parameters!$N$5*(calcs!$GO8+calcs!$GR8)+parameters!$O$5*calcs!$HB8+parameters!$P$5*calcs!$HE8</f>
        <v>67.631037142397446</v>
      </c>
      <c r="HQ8" s="98">
        <f>parameters!$E$6+parameters!$F$6*calcs!$Q8 +parameters!$G$6*calcs!$GM8+parameters!$H$6*LN(calcs!$GM8)+parameters!$I$6*calcs!$GQ8+parameters!$J$6*(calcs!$GU8+calcs!$GY8) + parameters!$K$6*calcs!$GT8+parameters!$L$6*(calcs!$GV8+calcs!$GZ8)+parameters!$M$6*(calcs!$GT8+calcs!$GV8+calcs!$GZ8)+parameters!$N$6*(calcs!$GO8+calcs!$GR8)+parameters!$O$6*calcs!$HB8+parameters!$P$6*calcs!$HE8</f>
        <v>66.256396900194517</v>
      </c>
      <c r="HR8" s="98">
        <f>parameters!$E$7+parameters!$F$7*calcs!$Q8 +parameters!$G$7*calcs!$GM8+parameters!$H$7*LN(calcs!$GM8)+parameters!$I$7*calcs!$GQ8+parameters!$J$7*(calcs!$GU8+calcs!$GY8) + parameters!$K$7*calcs!$GT8+parameters!$L$7*(calcs!$GV8+calcs!$GZ8)+parameters!$M$7*(calcs!$GT8+calcs!$GV8+calcs!$GZ8)+parameters!$N$7*(calcs!$GO8+calcs!$GR8)+parameters!$O$7*calcs!$HB8+parameters!$P$7*calcs!$HE8</f>
        <v>63.184090111968146</v>
      </c>
      <c r="HS8" s="98">
        <f>parameters!$E$8+parameters!$F$8*calcs!$Q8 +parameters!$G$8*calcs!$GM8+parameters!$H$8*LN(calcs!$GM8)+parameters!$I$8*calcs!$GQ8+parameters!$J$8*(calcs!$GU8+calcs!$GY8) + parameters!$K$8*calcs!$GT8+parameters!$L$8*(calcs!$GV8+calcs!$GZ8)+parameters!$M$8*(calcs!$GT8+calcs!$GV8+calcs!$GZ8)+parameters!$N$8*(calcs!$GO8+calcs!$GR8)+parameters!$O$8*calcs!$HB8+parameters!$P$8*calcs!$HE8</f>
        <v>63.659201705432828</v>
      </c>
      <c r="HT8" s="82"/>
      <c r="HU8" s="98">
        <f>EXP(parameters!$E$10+parameters!$F$10*calcs!$Q8 +parameters!$G$10*calcs!$GM8+parameters!$H$10*LN(calcs!$GM8)+parameters!$I$10*calcs!$GQ8+parameters!$J$10*(calcs!$GU8+calcs!$GY8) + parameters!$K$10*calcs!$GT8+parameters!$L$10*(calcs!$GV8+calcs!$GZ8)+parameters!$M$10*(calcs!$GT8+calcs!$GV8+calcs!$GZ8)+parameters!$N$10*(calcs!$GO8+calcs!$GR8)+parameters!$O$10*calcs!$HB8+parameters!$P$10*calcs!$HE8)</f>
        <v>0.43396242638825938</v>
      </c>
      <c r="HV8" s="98">
        <f>EXP(parameters!$E$11+parameters!$F$11*calcs!$Q8 +parameters!$G$11*calcs!$GM8+parameters!$H$11*LN(calcs!$GM8)+parameters!$I$11*calcs!$GQ8+parameters!$J$11*(calcs!$GU8+calcs!$GY8) + parameters!$K$11*calcs!$GT8+parameters!$L$11*(calcs!$GV8+calcs!$GZ8)+parameters!$M$11*(calcs!$GT8+calcs!$GV8+calcs!$GZ8)+parameters!$N$11*(calcs!$GO8+calcs!$GR8)+parameters!$O$11*calcs!$HB8+parameters!$P$11*calcs!$HE8)</f>
        <v>0.42309609975820228</v>
      </c>
      <c r="HW8" s="74"/>
      <c r="HX8" s="98">
        <f>EXP(parameters!$E$13+parameters!$F$13*calcs!$Q8 +parameters!$G$13*calcs!$GM8+parameters!$H$13*LN(calcs!$GM8)+parameters!$I$13*calcs!$GQ8+parameters!$J$13*(calcs!$GU8+calcs!$GY8) + parameters!$K$13*calcs!$GT8+parameters!$L$13*(calcs!$GV8+calcs!$GZ8)+parameters!$M$13*(calcs!$GT8+calcs!$GV8+calcs!$GZ8)+parameters!$N$13*(calcs!$GO8+calcs!$GR8)+parameters!$O$13*calcs!$HB8+parameters!$P$13*calcs!$HE8)</f>
        <v>4.0898012749646631</v>
      </c>
      <c r="HY8" s="98">
        <f>EXP(parameters!$E$14+parameters!$F$14*calcs!$Q8 +parameters!$G$14*calcs!$GM8+parameters!$H$14*LN(calcs!$GM8)+parameters!$I$14*calcs!$GQ8+parameters!$J$14*(calcs!$GU8+calcs!$GY8) + parameters!$K$14*calcs!$GT8+parameters!$L$14*(calcs!$GV8+calcs!$GZ8)+parameters!$M$14*(calcs!$GT8+calcs!$GV8+calcs!$GZ8)+parameters!$N$14*(calcs!$GO8+calcs!$GR8)+parameters!$O$14*calcs!$HB8+parameters!$P$14*calcs!$HE8)</f>
        <v>4.6376803167068346</v>
      </c>
      <c r="HZ8" s="82"/>
      <c r="IA8" s="98">
        <f>EXP(parameters!$E$16+parameters!$F$16*calcs!$Q8 +parameters!$G$16*calcs!$GM8+parameters!$H$16*LN(calcs!$GM8)+parameters!$I$16*calcs!$GQ8+parameters!$J$16*(calcs!$GU8+calcs!$GY8) + parameters!$K$16*calcs!$GT8+parameters!$L$16*(calcs!$GV8+calcs!$GZ8)+parameters!$M$16*(calcs!$GT8+calcs!$GV8+calcs!$GZ8)+parameters!$N$16*(calcs!$GO8+calcs!$GR8)+parameters!$O$16*calcs!$HB8+parameters!$P$16*calcs!$HE8)</f>
        <v>0.99051039394974094</v>
      </c>
      <c r="IB8" s="82"/>
      <c r="IC8" s="98">
        <f>(parameters!$E$18+parameters!$F$18*calcs!$Q8 +parameters!$G$18*calcs!$GM8+parameters!$H$18*LN(calcs!$GM8)+parameters!$I$18*calcs!$GQ8+parameters!$J$18*(calcs!$GU8+calcs!$GY8) + parameters!$K$18*calcs!$GT8+parameters!$L$18*(calcs!$GV8+calcs!$GZ8)+parameters!$M$18*(calcs!$GT8+calcs!$GV8+calcs!$GZ8)+parameters!$N$18*(calcs!$GO8+calcs!$GR8)+parameters!$O$18*calcs!$HB8+parameters!$P$18*calcs!$HE8)</f>
        <v>3.8102169845780134</v>
      </c>
      <c r="ID8" s="98">
        <f>EXP(parameters!$E$19+parameters!$F$19*calcs!$Q8 +parameters!$G$19*calcs!$GM8+parameters!$H$19*LN(calcs!$GM8)+parameters!$I$19*calcs!$GQ8+parameters!$J$19*(calcs!$GU8+calcs!$GY8) + parameters!$K$19*calcs!$GT8+parameters!$L$19*(calcs!$GV8+calcs!$GZ8)+parameters!$M$19*(calcs!$GT8+calcs!$GV8+calcs!$GZ8)+parameters!$N$19*(calcs!$GO8+calcs!$GR8)+parameters!$O$19*calcs!$HB8+parameters!$P$19*calcs!$HE8)</f>
        <v>4.2714938863474039</v>
      </c>
      <c r="IE8" s="74"/>
      <c r="IF8" s="98">
        <f>(parameters!$E$21+parameters!$F$21*calcs!$Q8 +parameters!$G$21*calcs!$GM8+parameters!$H$21*LN(calcs!$GM8)+parameters!$I$21*calcs!$GQ8+parameters!$J$21*(calcs!$GU8+calcs!$GY8) + parameters!$K$21*calcs!$GT8+parameters!$L$21*(calcs!$GV8+calcs!$GZ8)+parameters!$M$21*(calcs!$GT8+calcs!$GV8+calcs!$GZ8)+parameters!$N$21*(calcs!$GO8+calcs!$GR8)+parameters!$O$21*calcs!$HB8+parameters!$P$21*calcs!$HE8)</f>
        <v>1.5796576478234159</v>
      </c>
      <c r="IG8" s="98">
        <f>(parameters!$E$22+parameters!$F$22*calcs!$Q8 +parameters!$G$22*calcs!$GM8+parameters!$H$22*LN(calcs!$GM8)+parameters!$I$22*calcs!$GQ8+parameters!$J$22*(calcs!$GU8+calcs!$GY8) + parameters!$K$22*calcs!$GT8+parameters!$L$22*(calcs!$GV8+calcs!$GZ8)+parameters!$M$22*(calcs!$GT8+calcs!$GV8+calcs!$GZ8)+parameters!$N$22*(calcs!$GO8+calcs!$GR8)+parameters!$O$22*calcs!$HB8+parameters!$P$22*calcs!$HE8)</f>
        <v>2.5089832890665331</v>
      </c>
      <c r="IH8" s="82"/>
      <c r="II8" s="98">
        <f>(parameters!$E$24+parameters!$F$24*calcs!$Q8 +parameters!$G$24*calcs!$GM8+parameters!$H$24*LN(calcs!$GM8)+parameters!$I$24*calcs!$GQ8+parameters!$J$24*(calcs!$GU8+calcs!$GY8) + parameters!$K$24*calcs!$GT8+parameters!$L$24*(calcs!$GV8+calcs!$GZ8)+parameters!$M$24*(calcs!$GT8+calcs!$GV8+calcs!$GZ8)+parameters!$N$24*(calcs!$GO8+calcs!$GR8)+parameters!$O$24*calcs!$HB8+parameters!$P$24*calcs!$HE8)</f>
        <v>18.628556064431891</v>
      </c>
      <c r="IJ8" s="99"/>
    </row>
    <row r="9" spans="1:244" s="61" customFormat="1" x14ac:dyDescent="0.25">
      <c r="A9" s="90" t="s">
        <v>115</v>
      </c>
      <c r="B9" s="91" t="str">
        <f>HM9</f>
        <v>Pargasite</v>
      </c>
      <c r="C9" s="92">
        <v>42.37</v>
      </c>
      <c r="D9" s="92">
        <v>2.2400000000000002</v>
      </c>
      <c r="E9" s="92">
        <v>13.34</v>
      </c>
      <c r="F9" s="92">
        <v>0.26</v>
      </c>
      <c r="G9" s="92">
        <v>7.76</v>
      </c>
      <c r="H9" s="92">
        <v>14.79</v>
      </c>
      <c r="I9" s="92">
        <v>11.03</v>
      </c>
      <c r="J9" s="92">
        <v>0</v>
      </c>
      <c r="K9" s="92">
        <v>2.2599999999999998</v>
      </c>
      <c r="L9" s="92">
        <v>1.71</v>
      </c>
      <c r="M9" s="92">
        <v>0</v>
      </c>
      <c r="N9" s="92">
        <v>0</v>
      </c>
      <c r="O9" s="92">
        <v>0</v>
      </c>
      <c r="P9" s="92">
        <v>95.759999999999991</v>
      </c>
      <c r="Q9" s="61">
        <v>1025</v>
      </c>
      <c r="R9" s="93">
        <f t="shared" si="112"/>
        <v>0.70522636484687085</v>
      </c>
      <c r="S9" s="94">
        <f t="shared" si="112"/>
        <v>2.8045574057843997E-2</v>
      </c>
      <c r="T9" s="94">
        <f t="shared" si="112"/>
        <v>0.1308340819841273</v>
      </c>
      <c r="U9" s="94">
        <f t="shared" si="112"/>
        <v>1.7106388578195934E-3</v>
      </c>
      <c r="V9" s="94">
        <f t="shared" si="112"/>
        <v>0.10801781737193764</v>
      </c>
      <c r="W9" s="94">
        <f t="shared" si="112"/>
        <v>0.36690647482014382</v>
      </c>
      <c r="X9" s="94">
        <f t="shared" si="112"/>
        <v>0.1966833095577746</v>
      </c>
      <c r="Y9" s="94">
        <f t="shared" si="112"/>
        <v>0</v>
      </c>
      <c r="Z9" s="94">
        <f t="shared" si="112"/>
        <v>3.6463963600574384E-2</v>
      </c>
      <c r="AA9" s="94">
        <f t="shared" si="112"/>
        <v>1.8152211066691858E-2</v>
      </c>
      <c r="AB9" s="94">
        <f t="shared" si="112"/>
        <v>0</v>
      </c>
      <c r="AC9" s="95">
        <f t="shared" si="112"/>
        <v>0</v>
      </c>
      <c r="AD9" s="93">
        <f>R9*2</f>
        <v>1.4104527296937417</v>
      </c>
      <c r="AE9" s="94">
        <f>S9*2</f>
        <v>5.6091148115687994E-2</v>
      </c>
      <c r="AF9" s="94">
        <f>T9*3</f>
        <v>0.39250224595238192</v>
      </c>
      <c r="AG9" s="94">
        <f>U9*3</f>
        <v>5.1319165734587798E-3</v>
      </c>
      <c r="AH9" s="94">
        <f t="shared" si="113"/>
        <v>0.10801781737193764</v>
      </c>
      <c r="AI9" s="94">
        <f t="shared" si="113"/>
        <v>0.36690647482014382</v>
      </c>
      <c r="AJ9" s="94">
        <f t="shared" si="113"/>
        <v>0.1966833095577746</v>
      </c>
      <c r="AK9" s="94">
        <f t="shared" si="113"/>
        <v>0</v>
      </c>
      <c r="AL9" s="94">
        <f t="shared" si="113"/>
        <v>3.6463963600574384E-2</v>
      </c>
      <c r="AM9" s="94">
        <f t="shared" si="113"/>
        <v>1.8152211066691858E-2</v>
      </c>
      <c r="AN9" s="95">
        <f>SUM(AD9:AM9)</f>
        <v>2.5904018167523928</v>
      </c>
      <c r="AO9" s="93">
        <f t="shared" si="114"/>
        <v>12.523313013896377</v>
      </c>
      <c r="AP9" s="94">
        <f t="shared" si="114"/>
        <v>0.49802945563025736</v>
      </c>
      <c r="AQ9" s="94">
        <f t="shared" si="114"/>
        <v>3.4850005117054375</v>
      </c>
      <c r="AR9" s="94">
        <f t="shared" si="114"/>
        <v>4.5565935148058304E-2</v>
      </c>
      <c r="AS9" s="94">
        <f t="shared" si="114"/>
        <v>0.95908278919804413</v>
      </c>
      <c r="AT9" s="94">
        <f t="shared" si="114"/>
        <v>3.2577374159824979</v>
      </c>
      <c r="AU9" s="94">
        <f t="shared" si="114"/>
        <v>1.7463376108576987</v>
      </c>
      <c r="AV9" s="94">
        <f t="shared" si="114"/>
        <v>0</v>
      </c>
      <c r="AW9" s="94">
        <f t="shared" si="114"/>
        <v>0.32376103096802933</v>
      </c>
      <c r="AX9" s="94">
        <f t="shared" si="114"/>
        <v>0.16117223661359875</v>
      </c>
      <c r="AY9" s="95">
        <f>SUM(AO9:AX9)</f>
        <v>22.999999999999996</v>
      </c>
      <c r="AZ9" s="93">
        <f>AO9/2</f>
        <v>6.2616565069481886</v>
      </c>
      <c r="BA9" s="94">
        <f>AP9/2</f>
        <v>0.24901472781512868</v>
      </c>
      <c r="BB9" s="94">
        <f>AQ9*2/3</f>
        <v>2.3233336744702915</v>
      </c>
      <c r="BC9" s="94">
        <f>AR9*2/3</f>
        <v>3.0377290098705535E-2</v>
      </c>
      <c r="BD9" s="94">
        <f t="shared" si="115"/>
        <v>0.95908278919804413</v>
      </c>
      <c r="BE9" s="94">
        <f t="shared" si="115"/>
        <v>3.2577374159824979</v>
      </c>
      <c r="BF9" s="94">
        <f t="shared" si="115"/>
        <v>1.7463376108576987</v>
      </c>
      <c r="BG9" s="94">
        <f t="shared" si="115"/>
        <v>0</v>
      </c>
      <c r="BH9" s="94">
        <f>AW9*2</f>
        <v>0.64752206193605866</v>
      </c>
      <c r="BI9" s="94">
        <f>AX9*2</f>
        <v>0.3223444732271975</v>
      </c>
      <c r="BJ9" s="94">
        <f>AB9*23/$AN9</f>
        <v>0</v>
      </c>
      <c r="BK9" s="94">
        <f>AC9*23/$AN9</f>
        <v>0</v>
      </c>
      <c r="BL9" s="94">
        <f>2-BJ9-BK9</f>
        <v>2</v>
      </c>
      <c r="BM9" s="95">
        <f>SUM(AZ9:BI9)</f>
        <v>15.797406550533813</v>
      </c>
      <c r="BN9" s="96">
        <f>AZ9</f>
        <v>6.2616565069481886</v>
      </c>
      <c r="BO9" s="67">
        <f>IF(BN9&lt;8,IF((8-BN9)&lt;BB9,(8-BN9),BB9),0)</f>
        <v>1.7383434930518114</v>
      </c>
      <c r="BP9" s="67">
        <f>IF((BO9+BN9)&lt;8,8-(BO9+BN9),0)</f>
        <v>0</v>
      </c>
      <c r="BQ9" s="67">
        <f>SUM(BN9:BP9)</f>
        <v>8</v>
      </c>
      <c r="BR9" s="67">
        <f>IF((BB9-BO9)&gt;0,(BB9-BO9),0)</f>
        <v>0.58499018141848014</v>
      </c>
      <c r="BS9" s="67">
        <f>IF(BR9+BA9&lt;5,BA9,5-BR9)</f>
        <v>0.24901472781512868</v>
      </c>
      <c r="BT9" s="67">
        <f>IF(BR9+BS9+BC9&lt;5,BC9,5-BS9-BR9)</f>
        <v>3.0377290098705535E-2</v>
      </c>
      <c r="BU9" s="67"/>
      <c r="BV9" s="67">
        <f>IF(SUM(BR9:BU9)&lt;5,IF((SUM(BR9:BU9)+BE9)&lt;5,BE9,5-SUM(BR9:BU9)),0)</f>
        <v>3.2577374159824979</v>
      </c>
      <c r="BW9" s="67">
        <f>IF(SUM(BR9:BV9)&lt;5,IF((SUM(BR9:BV9)+BD9)&lt;5,BD9,5-SUM(BR9:BV9)),0)</f>
        <v>0.87788038468518792</v>
      </c>
      <c r="BX9" s="67">
        <f>IF(SUM(BR9:BW9)&lt;5,IF((SUM(BR9:BW9)+BG9)&lt;5,BG9,5-SUM(BR9:BW9)),0)</f>
        <v>0</v>
      </c>
      <c r="BY9" s="67">
        <f>SUM(BR9:BX9)</f>
        <v>5</v>
      </c>
      <c r="BZ9" s="67">
        <f>IF((BE9-BV9)&gt;0,(BE9-BV9),0)</f>
        <v>0</v>
      </c>
      <c r="CA9" s="67">
        <f>IF((BD9-BW9)&gt;0,(BD9-BW9),0)</f>
        <v>8.1202404512856208E-2</v>
      </c>
      <c r="CB9" s="67">
        <f>IF((BG9-BX9)&gt;0,(BG9-BX9),0)</f>
        <v>0</v>
      </c>
      <c r="CC9" s="67">
        <f>BF9</f>
        <v>1.7463376108576987</v>
      </c>
      <c r="CD9" s="57">
        <f>IF((SUM(BZ9:CC9)&lt;2),IF((2-(BZ9+CA9+CB9+CC9))&lt;BF9,(2-SUM(BZ9:CC9)),BF9),0)</f>
        <v>0.17245998462944501</v>
      </c>
      <c r="CE9" s="67">
        <f>SUM(BZ9:CD9)</f>
        <v>2</v>
      </c>
      <c r="CF9" s="67">
        <f>BH9-CD9</f>
        <v>0.47506207730661365</v>
      </c>
      <c r="CG9" s="67">
        <f>BI9</f>
        <v>0.3223444732271975</v>
      </c>
      <c r="CH9" s="68">
        <f>SUM(CF9:CG9)</f>
        <v>0.79740655053381115</v>
      </c>
      <c r="CJ9" s="61">
        <f>8/AZ9</f>
        <v>1.277617191412987</v>
      </c>
      <c r="CK9" s="61">
        <f>16/SUM(AZ9:BI9)</f>
        <v>1.0128244752591584</v>
      </c>
      <c r="CL9" s="61">
        <f>15/SUM(AZ9:BG9)</f>
        <v>1.0116310584527619</v>
      </c>
      <c r="CN9" s="61">
        <f>IF(MIN(CJ9:CL9)&lt;1,MIN(CJ9:CL9),1)</f>
        <v>1</v>
      </c>
      <c r="CO9" s="61">
        <f t="shared" si="116"/>
        <v>6.2616565069481886</v>
      </c>
      <c r="CP9" s="61">
        <f t="shared" si="116"/>
        <v>0.24901472781512868</v>
      </c>
      <c r="CQ9" s="61">
        <f t="shared" si="116"/>
        <v>2.3233336744702915</v>
      </c>
      <c r="CR9" s="61">
        <f t="shared" si="116"/>
        <v>3.0377290098705535E-2</v>
      </c>
      <c r="CS9" s="61">
        <f t="shared" si="116"/>
        <v>0.95908278919804413</v>
      </c>
      <c r="CT9" s="61">
        <f t="shared" si="116"/>
        <v>3.2577374159824979</v>
      </c>
      <c r="CU9" s="61">
        <f t="shared" si="116"/>
        <v>1.7463376108576987</v>
      </c>
      <c r="CV9" s="61">
        <f t="shared" si="116"/>
        <v>0</v>
      </c>
      <c r="CW9" s="61">
        <f t="shared" si="116"/>
        <v>0.64752206193605866</v>
      </c>
      <c r="CX9" s="61">
        <f t="shared" si="116"/>
        <v>0.3223444732271975</v>
      </c>
      <c r="CY9" s="61">
        <f t="shared" si="116"/>
        <v>0</v>
      </c>
      <c r="CZ9" s="61">
        <f t="shared" si="116"/>
        <v>0</v>
      </c>
      <c r="DA9" s="61">
        <f t="shared" si="116"/>
        <v>2</v>
      </c>
      <c r="DB9" s="61">
        <f>CO9*2+CP9*2+CQ9*3/2+CR9*3/2+CS9+CT9+CU9+CV9+CW9/2+CX9/2</f>
        <v>22.999999999999996</v>
      </c>
      <c r="DC9" s="61">
        <f>(23-DB9)*2</f>
        <v>7.1054273576010019E-15</v>
      </c>
      <c r="DD9" s="61" t="str">
        <f>IF(DC9&gt;BD9,"FAIL","")</f>
        <v/>
      </c>
      <c r="DE9" s="60">
        <f>CO9</f>
        <v>6.2616565069481886</v>
      </c>
      <c r="DF9" s="60">
        <f>IF(DE9&lt;8,IF((8-DE9)&lt;CQ9,(8-DE9),CQ9),0)</f>
        <v>1.7383434930518114</v>
      </c>
      <c r="DG9" s="60">
        <f>IF((DF9+DE9)&lt;8,IF((8-DF9-DE9)&gt;CP9,CP9,(8-(DF9+DE9))),0)</f>
        <v>0</v>
      </c>
      <c r="DH9" s="60">
        <f>SUM(DE9:DG9)</f>
        <v>8</v>
      </c>
      <c r="DI9" s="60">
        <f>IF((CQ9-DF9)&gt;0,(CQ9-DF9),0)</f>
        <v>0.58499018141848014</v>
      </c>
      <c r="DJ9" s="60">
        <f>IF(DI9+CP9&lt;5,CP9,5-DI9)</f>
        <v>0.24901472781512868</v>
      </c>
      <c r="DK9" s="60">
        <f>IF(DI9+DJ9+CR9&lt;5,CR9,5-DJ9-DI9)</f>
        <v>3.0377290098705535E-2</v>
      </c>
      <c r="DL9" s="60">
        <f>DC9</f>
        <v>7.1054273576010019E-15</v>
      </c>
      <c r="DM9" s="60">
        <f>IF(SUM(DI9:DL9)&lt;5,IF((SUM(DI9:DL9)+CT9)&lt;5,CT9,5-SUM(DI9:DL9)),0)</f>
        <v>3.2577374159824979</v>
      </c>
      <c r="DN9" s="60">
        <f>IF(SUM(DI9:DM9)&lt;5,IF((SUM(DI9:DM9)+CS9-DC9)&lt;5,CS9-DC9,5-SUM(DI9:DM9)),0)</f>
        <v>0.87788038468518081</v>
      </c>
      <c r="DO9" s="60">
        <f>IF(SUM(DI9:DN9)&lt;5,IF((SUM(DI9:DN9)+CV9)&lt;5,CV9,5-SUM(DI9:DN9)),0)</f>
        <v>0</v>
      </c>
      <c r="DP9" s="60">
        <f>SUM(DI9:DO9)</f>
        <v>5</v>
      </c>
      <c r="DQ9" s="60">
        <f>IF((CT9-DM9)&gt;0,(CT9-DM9),0)</f>
        <v>0</v>
      </c>
      <c r="DR9" s="60">
        <f>IF((CS9-DN9-DL9)&gt;0,(CS9-DN9-DL9),0)</f>
        <v>8.1202404512856208E-2</v>
      </c>
      <c r="DS9" s="60">
        <f>IF((CV9-DO9)&gt;0,(CV9-DO9),0)</f>
        <v>0</v>
      </c>
      <c r="DT9" s="60">
        <f>CU9</f>
        <v>1.7463376108576987</v>
      </c>
      <c r="DU9" s="60">
        <f>IF((SUM(DQ9:DT9)&lt;2),IF((2-(DQ9+DR9+DS9+DT9))&lt;CW9,(2-SUM(DQ9:DT9)),CW9),0)</f>
        <v>0.17245998462944501</v>
      </c>
      <c r="DV9" s="60">
        <f>SUM(DQ9:DU9)</f>
        <v>2</v>
      </c>
      <c r="DW9" s="60">
        <f>CW9-DU9</f>
        <v>0.47506207730661365</v>
      </c>
      <c r="DX9" s="60">
        <f>CY9</f>
        <v>0</v>
      </c>
      <c r="DY9" s="60">
        <f>SUM(DW9:DX9)</f>
        <v>0.47506207730661365</v>
      </c>
      <c r="EA9" s="61">
        <f>8/(AZ9+BB9)</f>
        <v>0.93185895742960267</v>
      </c>
      <c r="EB9" s="61">
        <f>15/SUM(AZ9:BH9)</f>
        <v>0.96930144286766584</v>
      </c>
      <c r="EC9" s="61">
        <f>13/SUM(AZ9:BG9)</f>
        <v>0.87674691732572707</v>
      </c>
      <c r="ED9" s="61">
        <f>23/(23+(0.5*BD9))</f>
        <v>0.97957620268046075</v>
      </c>
      <c r="EF9" s="61">
        <f>MAX(EA9:ED9)</f>
        <v>0.97957620268046075</v>
      </c>
      <c r="EG9" s="61">
        <f t="shared" si="117"/>
        <v>6.1337697035657044</v>
      </c>
      <c r="EH9" s="61">
        <f t="shared" si="117"/>
        <v>0.24392890148465227</v>
      </c>
      <c r="EI9" s="61">
        <f t="shared" si="117"/>
        <v>2.2758823783972497</v>
      </c>
      <c r="EJ9" s="61">
        <f t="shared" si="117"/>
        <v>2.9756870482612725E-2</v>
      </c>
      <c r="EK9" s="61">
        <f t="shared" si="117"/>
        <v>0.93949467669880493</v>
      </c>
      <c r="EL9" s="61">
        <f t="shared" si="117"/>
        <v>3.1912020472781917</v>
      </c>
      <c r="EM9" s="61">
        <f t="shared" si="117"/>
        <v>1.7106707654420525</v>
      </c>
      <c r="EN9" s="61">
        <f t="shared" si="117"/>
        <v>0</v>
      </c>
      <c r="EO9" s="61">
        <f t="shared" si="117"/>
        <v>0.63429720258314648</v>
      </c>
      <c r="EP9" s="61">
        <f t="shared" si="117"/>
        <v>0.31576097503893158</v>
      </c>
      <c r="EQ9" s="61">
        <f t="shared" si="117"/>
        <v>0</v>
      </c>
      <c r="ER9" s="61">
        <f t="shared" si="117"/>
        <v>0</v>
      </c>
      <c r="ES9" s="61">
        <f t="shared" si="117"/>
        <v>1.9591524053609215</v>
      </c>
      <c r="ET9" s="61">
        <f>EG9*2+EH9*2+EI9*3/2+EJ9*3/2+EK9+EL9+EM9+EN9+EO9/2+EP9/2</f>
        <v>22.530252661650596</v>
      </c>
      <c r="EU9" s="61">
        <f>(23-ET9)*2</f>
        <v>0.93949467669880704</v>
      </c>
      <c r="EV9" s="61" t="str">
        <f>IF(EU9&gt;BD9,"FAIL","")</f>
        <v/>
      </c>
      <c r="EW9" s="63">
        <f>EG9</f>
        <v>6.1337697035657044</v>
      </c>
      <c r="EX9" s="63">
        <f>IF(EW9&lt;8,IF((8-EW9)&lt;EI9,(8-EW9),EI9),0)</f>
        <v>1.8662302964342956</v>
      </c>
      <c r="EY9" s="63">
        <f>IF((EX9+EW9)&lt;8,IF((8-EX9-EW9)&gt;EH9,EH9,(8-(EX9+EW9))),0)</f>
        <v>0</v>
      </c>
      <c r="EZ9" s="63">
        <f>SUM(EW9:EY9)</f>
        <v>8</v>
      </c>
      <c r="FA9" s="63">
        <f>IF((EI9-EX9)&gt;0,(EI9-EX9),0)</f>
        <v>0.40965208196295411</v>
      </c>
      <c r="FB9" s="63">
        <f>IF(FA9+EH9&lt;5,EH9,5-FA9)</f>
        <v>0.24392890148465227</v>
      </c>
      <c r="FC9" s="63">
        <f>IF(FA9+FB9+EJ9&lt;5,EJ9,5-FB9-FA9)</f>
        <v>2.9756870482612725E-2</v>
      </c>
      <c r="FD9" s="63">
        <f>EU9</f>
        <v>0.93949467669880704</v>
      </c>
      <c r="FE9" s="63">
        <f>IF(SUM(FA9:FD9)&lt;5,IF((SUM(FA9:FD9)+EL9)&lt;5,EL9,5-SUM(FA9:FD9)),0)</f>
        <v>3.1912020472781917</v>
      </c>
      <c r="FF9" s="63">
        <f>IF(SUM(FA9:FE9)&lt;5,IF((SUM(FA9:FE9)+(EK9-EU9))&lt;5,EK9-EU9,5-SUM(FA9:FE9)),0)</f>
        <v>-2.1094237467877974E-15</v>
      </c>
      <c r="FG9" s="63">
        <f>IF(SUM(FA9:FF9)&lt;5,IF((SUM(FA9:FF9)+EN9)&lt;5,EN9,5-SUM(FA9:FF9)),0)</f>
        <v>0</v>
      </c>
      <c r="FH9" s="63">
        <f>SUM(FA9:FG9)</f>
        <v>4.8140345779072167</v>
      </c>
      <c r="FI9" s="63">
        <f>IF((EL9-FE9)&gt;0,(EL9-FE9),0)</f>
        <v>0</v>
      </c>
      <c r="FJ9" s="63">
        <f>IF((EK9-FF9-FD9)&gt;0,(EK9-FF9-FD9),0)</f>
        <v>0</v>
      </c>
      <c r="FK9" s="63">
        <f>IF((EN9-FG9)&gt;0,(EN9-FG9),0)</f>
        <v>0</v>
      </c>
      <c r="FL9" s="63">
        <f>EM9</f>
        <v>1.7106707654420525</v>
      </c>
      <c r="FM9" s="63">
        <f>IF((SUM(FI9:FL9)&lt;2),IF((2-(FI9+FJ9+FK9+FL9))&lt;EO9,(2-SUM(FI9:FL9)),EO9),0)</f>
        <v>0.28932923455794746</v>
      </c>
      <c r="FN9" s="63">
        <f>SUM(FI9:FM9)</f>
        <v>2</v>
      </c>
      <c r="FO9" s="63">
        <f>EO9-FM9</f>
        <v>0.34496796802519902</v>
      </c>
      <c r="FP9" s="63">
        <f>EP9</f>
        <v>0.31576097503893158</v>
      </c>
      <c r="FQ9" s="63">
        <f>SUM(FO9:FP9)</f>
        <v>0.66072894306413055</v>
      </c>
      <c r="FR9" s="63" t="str">
        <f>IF(OR(FD9&lt;0, FF9&lt;0, FO9&lt;0, FQ9&gt;1), "Fail", "Pass")</f>
        <v>Fail</v>
      </c>
      <c r="FS9" s="63" t="str">
        <f>IF(FL9&lt;1.5,"Low-Ca",IF(FR9="Fail","Invalid",IF(FB9&gt;0.5,"Kaersutite",IF(FQ9&lt;=0.5,IF(EW9&gt;=6.5,"Mg-Hbl","Tsch"),IF(FA9&lt;FD9,"Mg-Hst","Prg")))))</f>
        <v>Invalid</v>
      </c>
      <c r="FT9" s="61">
        <f>FE9/(FE9+FF9+FJ9)</f>
        <v>1.0000000000000007</v>
      </c>
      <c r="FV9" s="61">
        <f>AVERAGE(EF9,CN9)</f>
        <v>0.98978810134023032</v>
      </c>
      <c r="FW9" s="61">
        <f t="shared" si="118"/>
        <v>6.1977131052569465</v>
      </c>
      <c r="FX9" s="61">
        <f t="shared" si="118"/>
        <v>0.24647181464989046</v>
      </c>
      <c r="FY9" s="61">
        <f t="shared" si="118"/>
        <v>2.2996080264337704</v>
      </c>
      <c r="FZ9" s="61">
        <f t="shared" si="118"/>
        <v>3.0067080290659128E-2</v>
      </c>
      <c r="GA9" s="61">
        <f t="shared" si="118"/>
        <v>0.94928873294842442</v>
      </c>
      <c r="GB9" s="61">
        <f t="shared" si="118"/>
        <v>3.2244697316303448</v>
      </c>
      <c r="GC9" s="61">
        <f t="shared" si="118"/>
        <v>1.7285041881498755</v>
      </c>
      <c r="GD9" s="61">
        <f t="shared" si="118"/>
        <v>0</v>
      </c>
      <c r="GE9" s="61">
        <f t="shared" si="118"/>
        <v>0.64090963225960251</v>
      </c>
      <c r="GF9" s="61">
        <f t="shared" si="118"/>
        <v>0.31905272413306451</v>
      </c>
      <c r="GG9" s="61">
        <f t="shared" si="118"/>
        <v>0</v>
      </c>
      <c r="GH9" s="61">
        <f t="shared" si="118"/>
        <v>0</v>
      </c>
      <c r="GI9" s="61">
        <f t="shared" si="118"/>
        <v>1.9795762026804606</v>
      </c>
      <c r="GJ9" s="61">
        <f>FW9*2+FX9*2+FY9*3/2+FZ9*3/2+GA9+GB9+GC9+GD9+GE9/2+GF9/2</f>
        <v>22.765126330825296</v>
      </c>
      <c r="GK9" s="61">
        <f>(23-GJ9)*2</f>
        <v>0.46974733834940707</v>
      </c>
      <c r="GM9" s="89">
        <f>FW9</f>
        <v>6.1977131052569465</v>
      </c>
      <c r="GN9" s="89">
        <f>IF(GM9&lt;8,IF((8-GM9)&lt;FY9,(8-GM9),FY9),0)</f>
        <v>1.8022868947430535</v>
      </c>
      <c r="GO9" s="89">
        <f>IF((GN9+GM9)&lt;8,IF((8-GN9-GM9)&gt;FX9,FX9,(8-(GN9+GM9))),0)</f>
        <v>0</v>
      </c>
      <c r="GP9" s="88">
        <f>SUM(GM9:GO9)</f>
        <v>8</v>
      </c>
      <c r="GQ9" s="89">
        <f>IF((FY9-GN9)&gt;0,(FY9-GN9),0)</f>
        <v>0.4973211316907169</v>
      </c>
      <c r="GR9" s="89">
        <f>IF(GQ9+FX9&lt;5,FX9,5-GQ9)</f>
        <v>0.24647181464989046</v>
      </c>
      <c r="GS9" s="89">
        <f>IF(GQ9+GR9+FZ9&lt;5,FZ9,5-GR9-GQ9)</f>
        <v>3.0067080290659128E-2</v>
      </c>
      <c r="GT9" s="89">
        <f>GK9</f>
        <v>0.46974733834940707</v>
      </c>
      <c r="GU9" s="89">
        <f>IF(SUM(GQ9:GT9)&lt;5,IF((SUM(GQ9:GT9)+GB9)&lt;5,GB9,5-SUM(GQ9:GT9)),0)</f>
        <v>3.2244697316303448</v>
      </c>
      <c r="GV9" s="89">
        <f>IF(SUM(GQ9:GU9)&lt;5,IF((SUM(GQ9:GU9)+(GA9-GT9))&lt;5,GA9-GT9,5-SUM(GQ9:GU9)),0)</f>
        <v>0.47954139459901735</v>
      </c>
      <c r="GW9" s="89">
        <f>IF(SUM(GQ9:GV9)&lt;5,IF((SUM(GQ9:GV9)+GD9)&lt;5,GD9,5-SUM(GQ9:GV9)),0)</f>
        <v>0</v>
      </c>
      <c r="GX9" s="88">
        <f>SUM(GQ9:GW9)</f>
        <v>4.9476184912100365</v>
      </c>
      <c r="GY9" s="89">
        <f>IF((GB9-GU9)&gt;0,(GB9-GU9),0)</f>
        <v>0</v>
      </c>
      <c r="GZ9" s="89">
        <f>IF((GA9-GV9-GT9)&gt;0,(GA9-GV9-GT9),0)</f>
        <v>0</v>
      </c>
      <c r="HA9" s="89">
        <f>IF((GD9-GW9)&gt;0,(GD9-GW9),0)</f>
        <v>0</v>
      </c>
      <c r="HB9" s="89">
        <f>GC9</f>
        <v>1.7285041881498755</v>
      </c>
      <c r="HC9" s="89">
        <f>IF((SUM(GY9:HB9)&lt;2),IF((2-(GY9+GZ9+HA9+HB9))&lt;GE9,(2-SUM(GY9:HB9)),GE9),0)</f>
        <v>0.2714958118501245</v>
      </c>
      <c r="HD9" s="88">
        <f>SUM(GY9:HC9)</f>
        <v>2</v>
      </c>
      <c r="HE9" s="89">
        <f>GE9-HC9</f>
        <v>0.36941382040947801</v>
      </c>
      <c r="HF9" s="89">
        <f>GF9</f>
        <v>0.31905272413306451</v>
      </c>
      <c r="HG9" s="89">
        <f>SUM(HE9:HF9)</f>
        <v>0.68846654454254252</v>
      </c>
      <c r="HH9" s="97" t="str">
        <f>IF(OR(GT9&lt;0, GV9&lt;0, HE9&lt;0, HG9&gt;1), "Fail", "Pass")</f>
        <v>Pass</v>
      </c>
      <c r="HI9" s="84">
        <f>(GU9+GY9)/(GY9+GU9+GV9+GZ9)</f>
        <v>0.87053456961745568</v>
      </c>
      <c r="HJ9" s="84">
        <f>HF9+HE9</f>
        <v>0.68846654454254252</v>
      </c>
      <c r="HK9" s="84">
        <f>GR9+GO9</f>
        <v>0.24647181464989046</v>
      </c>
      <c r="HL9" s="84">
        <f>GM9</f>
        <v>6.1977131052569465</v>
      </c>
      <c r="HM9" s="97" t="str">
        <f>IF(HJ9&gt;0.5,IF(HI9&gt;=0.5,IF(HK9&gt;=0.5,"Kaer",IF(HL9&gt;=6.5,"edenite",IF(HL9&gt;=5.5,IF(GQ9&gt;GT9,"Pargasite","MgHst"),"Magnesiosadanagaite"))),IF(HK9&gt;=0.5,"Ferrokaersutite",IF(HL9&gt;=6.5,"Ferro-edenite",IF(HL9&gt;=5.5,IF(GR9&gt;(GU9+GY9),"Ferropargasite","Hastingsite"),"Sadanagaite")))),IF(HI9&gt;=0.5,IF(HL9&gt;=7.5,IF(HI9&gt;=0.9,"Tremolite","Actinolite"),IF(HL9&gt;=6.5,"Mghbl","Tsch")),IF(HL9&gt;=6.5,"Ferroactinolite",IF(HL9&gt;=6.5,"Ferrohornblende","Ferrotschermakite"))))</f>
        <v>Pargasite</v>
      </c>
      <c r="HP9" s="98">
        <f>parameters!$E$5+parameters!$F$5*calcs!$Q9 +parameters!$G$5*calcs!$GM9+parameters!$H$5*LN(calcs!$GM9)+parameters!$I$5*calcs!$GQ9+parameters!$J$5*(calcs!$GU9+calcs!$GY9) + parameters!$K$5*calcs!$GT9+parameters!$L$5*(calcs!$GV9+calcs!$GZ9)+parameters!$M$5*(calcs!$GT9+calcs!$GV9+calcs!$GZ9)+parameters!$N$5*(calcs!$GO9+calcs!$GR9)+parameters!$O$5*calcs!$HB9+parameters!$P$5*calcs!$HE9</f>
        <v>54.171621209737204</v>
      </c>
      <c r="HQ9" s="98">
        <f>parameters!$E$6+parameters!$F$6*calcs!$Q9 +parameters!$G$6*calcs!$GM9+parameters!$H$6*LN(calcs!$GM9)+parameters!$I$6*calcs!$GQ9+parameters!$J$6*(calcs!$GU9+calcs!$GY9) + parameters!$K$6*calcs!$GT9+parameters!$L$6*(calcs!$GV9+calcs!$GZ9)+parameters!$M$6*(calcs!$GT9+calcs!$GV9+calcs!$GZ9)+parameters!$N$6*(calcs!$GO9+calcs!$GR9)+parameters!$O$6*calcs!$HB9+parameters!$P$6*calcs!$HE9</f>
        <v>57.008742473465482</v>
      </c>
      <c r="HR9" s="98">
        <f>parameters!$E$7+parameters!$F$7*calcs!$Q9 +parameters!$G$7*calcs!$GM9+parameters!$H$7*LN(calcs!$GM9)+parameters!$I$7*calcs!$GQ9+parameters!$J$7*(calcs!$GU9+calcs!$GY9) + parameters!$K$7*calcs!$GT9+parameters!$L$7*(calcs!$GV9+calcs!$GZ9)+parameters!$M$7*(calcs!$GT9+calcs!$GV9+calcs!$GZ9)+parameters!$N$7*(calcs!$GO9+calcs!$GR9)+parameters!$O$7*calcs!$HB9+parameters!$P$7*calcs!$HE9</f>
        <v>60.628564060143269</v>
      </c>
      <c r="HS9" s="98">
        <f>parameters!$E$8+parameters!$F$8*calcs!$Q9 +parameters!$G$8*calcs!$GM9+parameters!$H$8*LN(calcs!$GM9)+parameters!$I$8*calcs!$GQ9+parameters!$J$8*(calcs!$GU9+calcs!$GY9) + parameters!$K$8*calcs!$GT9+parameters!$L$8*(calcs!$GV9+calcs!$GZ9)+parameters!$M$8*(calcs!$GT9+calcs!$GV9+calcs!$GZ9)+parameters!$N$8*(calcs!$GO9+calcs!$GR9)+parameters!$O$8*calcs!$HB9+parameters!$P$8*calcs!$HE9</f>
        <v>59.892917644568428</v>
      </c>
      <c r="HT9" s="82"/>
      <c r="HU9" s="98">
        <f>EXP(parameters!$E$10+parameters!$F$10*calcs!$Q9 +parameters!$G$10*calcs!$GM9+parameters!$H$10*LN(calcs!$GM9)+parameters!$I$10*calcs!$GQ9+parameters!$J$10*(calcs!$GU9+calcs!$GY9) + parameters!$K$10*calcs!$GT9+parameters!$L$10*(calcs!$GV9+calcs!$GZ9)+parameters!$M$10*(calcs!$GT9+calcs!$GV9+calcs!$GZ9)+parameters!$N$10*(calcs!$GO9+calcs!$GR9)+parameters!$O$10*calcs!$HB9+parameters!$P$10*calcs!$HE9)</f>
        <v>1.1018820900602611</v>
      </c>
      <c r="HV9" s="98">
        <f>EXP(parameters!$E$11+parameters!$F$11*calcs!$Q9 +parameters!$G$11*calcs!$GM9+parameters!$H$11*LN(calcs!$GM9)+parameters!$I$11*calcs!$GQ9+parameters!$J$11*(calcs!$GU9+calcs!$GY9) + parameters!$K$11*calcs!$GT9+parameters!$L$11*(calcs!$GV9+calcs!$GZ9)+parameters!$M$11*(calcs!$GT9+calcs!$GV9+calcs!$GZ9)+parameters!$N$11*(calcs!$GO9+calcs!$GR9)+parameters!$O$11*calcs!$HB9+parameters!$P$11*calcs!$HE9)</f>
        <v>1.2779901513900846</v>
      </c>
      <c r="HW9" s="74"/>
      <c r="HX9" s="98">
        <f>EXP(parameters!$E$13+parameters!$F$13*calcs!$Q9 +parameters!$G$13*calcs!$GM9+parameters!$H$13*LN(calcs!$GM9)+parameters!$I$13*calcs!$GQ9+parameters!$J$13*(calcs!$GU9+calcs!$GY9) + parameters!$K$13*calcs!$GT9+parameters!$L$13*(calcs!$GV9+calcs!$GZ9)+parameters!$M$13*(calcs!$GT9+calcs!$GV9+calcs!$GZ9)+parameters!$N$13*(calcs!$GO9+calcs!$GR9)+parameters!$O$13*calcs!$HB9+parameters!$P$13*calcs!$HE9)</f>
        <v>4.9400647588843647</v>
      </c>
      <c r="HY9" s="98">
        <f>EXP(parameters!$E$14+parameters!$F$14*calcs!$Q9 +parameters!$G$14*calcs!$GM9+parameters!$H$14*LN(calcs!$GM9)+parameters!$I$14*calcs!$GQ9+parameters!$J$14*(calcs!$GU9+calcs!$GY9) + parameters!$K$14*calcs!$GT9+parameters!$L$14*(calcs!$GV9+calcs!$GZ9)+parameters!$M$14*(calcs!$GT9+calcs!$GV9+calcs!$GZ9)+parameters!$N$14*(calcs!$GO9+calcs!$GR9)+parameters!$O$14*calcs!$HB9+parameters!$P$14*calcs!$HE9)</f>
        <v>4.7915342087700932</v>
      </c>
      <c r="HZ9" s="82"/>
      <c r="IA9" s="98">
        <f>EXP(parameters!$E$16+parameters!$F$16*calcs!$Q9 +parameters!$G$16*calcs!$GM9+parameters!$H$16*LN(calcs!$GM9)+parameters!$I$16*calcs!$GQ9+parameters!$J$16*(calcs!$GU9+calcs!$GY9) + parameters!$K$16*calcs!$GT9+parameters!$L$16*(calcs!$GV9+calcs!$GZ9)+parameters!$M$16*(calcs!$GT9+calcs!$GV9+calcs!$GZ9)+parameters!$N$16*(calcs!$GO9+calcs!$GR9)+parameters!$O$16*calcs!$HB9+parameters!$P$16*calcs!$HE9)</f>
        <v>2.5502046322307477</v>
      </c>
      <c r="IB9" s="82"/>
      <c r="IC9" s="98">
        <f>(parameters!$E$18+parameters!$F$18*calcs!$Q9 +parameters!$G$18*calcs!$GM9+parameters!$H$18*LN(calcs!$GM9)+parameters!$I$18*calcs!$GQ9+parameters!$J$18*(calcs!$GU9+calcs!$GY9) + parameters!$K$18*calcs!$GT9+parameters!$L$18*(calcs!$GV9+calcs!$GZ9)+parameters!$M$18*(calcs!$GT9+calcs!$GV9+calcs!$GZ9)+parameters!$N$18*(calcs!$GO9+calcs!$GR9)+parameters!$O$18*calcs!$HB9+parameters!$P$18*calcs!$HE9)</f>
        <v>6.5604820519367664</v>
      </c>
      <c r="ID9" s="98">
        <f>EXP(parameters!$E$19+parameters!$F$19*calcs!$Q9 +parameters!$G$19*calcs!$GM9+parameters!$H$19*LN(calcs!$GM9)+parameters!$I$19*calcs!$GQ9+parameters!$J$19*(calcs!$GU9+calcs!$GY9) + parameters!$K$19*calcs!$GT9+parameters!$L$19*(calcs!$GV9+calcs!$GZ9)+parameters!$M$19*(calcs!$GT9+calcs!$GV9+calcs!$GZ9)+parameters!$N$19*(calcs!$GO9+calcs!$GR9)+parameters!$O$19*calcs!$HB9+parameters!$P$19*calcs!$HE9)</f>
        <v>7.2804654396527573</v>
      </c>
      <c r="IE9" s="74"/>
      <c r="IF9" s="98">
        <f>(parameters!$E$21+parameters!$F$21*calcs!$Q9 +parameters!$G$21*calcs!$GM9+parameters!$H$21*LN(calcs!$GM9)+parameters!$I$21*calcs!$GQ9+parameters!$J$21*(calcs!$GU9+calcs!$GY9) + parameters!$K$21*calcs!$GT9+parameters!$L$21*(calcs!$GV9+calcs!$GZ9)+parameters!$M$21*(calcs!$GT9+calcs!$GV9+calcs!$GZ9)+parameters!$N$21*(calcs!$GO9+calcs!$GR9)+parameters!$O$21*calcs!$HB9+parameters!$P$21*calcs!$HE9)</f>
        <v>2.7738722649958181</v>
      </c>
      <c r="IG9" s="98">
        <f>(parameters!$E$22+parameters!$F$22*calcs!$Q9 +parameters!$G$22*calcs!$GM9+parameters!$H$22*LN(calcs!$GM9)+parameters!$I$22*calcs!$GQ9+parameters!$J$22*(calcs!$GU9+calcs!$GY9) + parameters!$K$22*calcs!$GT9+parameters!$L$22*(calcs!$GV9+calcs!$GZ9)+parameters!$M$22*(calcs!$GT9+calcs!$GV9+calcs!$GZ9)+parameters!$N$22*(calcs!$GO9+calcs!$GR9)+parameters!$O$22*calcs!$HB9+parameters!$P$22*calcs!$HE9)</f>
        <v>1.4797440043600396</v>
      </c>
      <c r="IH9" s="82"/>
      <c r="II9" s="98">
        <f>(parameters!$E$24+parameters!$F$24*calcs!$Q9 +parameters!$G$24*calcs!$GM9+parameters!$H$24*LN(calcs!$GM9)+parameters!$I$24*calcs!$GQ9+parameters!$J$24*(calcs!$GU9+calcs!$GY9) + parameters!$K$24*calcs!$GT9+parameters!$L$24*(calcs!$GV9+calcs!$GZ9)+parameters!$M$24*(calcs!$GT9+calcs!$GV9+calcs!$GZ9)+parameters!$N$24*(calcs!$GO9+calcs!$GR9)+parameters!$O$24*calcs!$HB9+parameters!$P$24*calcs!$HE9)</f>
        <v>17.51547321717517</v>
      </c>
      <c r="IJ9" s="9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pane ySplit="4" topLeftCell="A5" activePane="bottomLeft" state="frozenSplit"/>
      <selection pane="bottomLeft" activeCell="G14" sqref="G14"/>
    </sheetView>
  </sheetViews>
  <sheetFormatPr defaultColWidth="10.875" defaultRowHeight="15.75" x14ac:dyDescent="0.25"/>
  <cols>
    <col min="1" max="17" width="10.875" style="8"/>
    <col min="18" max="18" width="10.875" style="39"/>
    <col min="19" max="16384" width="10.875" style="8"/>
  </cols>
  <sheetData>
    <row r="1" spans="1:21" x14ac:dyDescent="0.25">
      <c r="R1" s="8"/>
      <c r="S1" s="39"/>
    </row>
    <row r="2" spans="1:21" x14ac:dyDescent="0.25">
      <c r="A2" s="102" t="s">
        <v>117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21" ht="16.5" thickBot="1" x14ac:dyDescent="0.3">
      <c r="A3" s="105" t="s">
        <v>0</v>
      </c>
      <c r="B3" s="110" t="s">
        <v>1</v>
      </c>
      <c r="C3" s="110" t="s">
        <v>2</v>
      </c>
      <c r="D3" s="110" t="s">
        <v>3</v>
      </c>
      <c r="E3" s="112" t="s">
        <v>4</v>
      </c>
      <c r="F3" s="114" t="s">
        <v>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05" t="s">
        <v>118</v>
      </c>
      <c r="R3" s="107" t="s">
        <v>6</v>
      </c>
      <c r="S3" s="107" t="s">
        <v>7</v>
      </c>
    </row>
    <row r="4" spans="1:21" ht="16.5" thickBot="1" x14ac:dyDescent="0.3">
      <c r="A4" s="106"/>
      <c r="B4" s="111"/>
      <c r="C4" s="111"/>
      <c r="D4" s="111"/>
      <c r="E4" s="113"/>
      <c r="F4" s="103" t="s">
        <v>8</v>
      </c>
      <c r="G4" s="103" t="s">
        <v>9</v>
      </c>
      <c r="H4" s="103" t="s">
        <v>10</v>
      </c>
      <c r="I4" s="103" t="s">
        <v>11</v>
      </c>
      <c r="J4" s="103" t="s">
        <v>12</v>
      </c>
      <c r="K4" s="103" t="s">
        <v>13</v>
      </c>
      <c r="L4" s="103" t="s">
        <v>14</v>
      </c>
      <c r="M4" s="103" t="s">
        <v>15</v>
      </c>
      <c r="N4" s="103" t="s">
        <v>16</v>
      </c>
      <c r="O4" s="103" t="s">
        <v>17</v>
      </c>
      <c r="P4" s="103" t="s">
        <v>18</v>
      </c>
      <c r="Q4" s="106"/>
      <c r="R4" s="108"/>
      <c r="S4" s="108"/>
    </row>
    <row r="5" spans="1:21" ht="16.5" x14ac:dyDescent="0.3">
      <c r="A5" s="2">
        <v>1</v>
      </c>
      <c r="B5" s="2" t="s">
        <v>19</v>
      </c>
      <c r="C5" s="2" t="s">
        <v>22</v>
      </c>
      <c r="D5" s="2" t="s">
        <v>21</v>
      </c>
      <c r="E5" s="3">
        <v>-736.71699999999998</v>
      </c>
      <c r="F5" s="4"/>
      <c r="G5" s="3"/>
      <c r="H5" s="3">
        <v>288.733</v>
      </c>
      <c r="I5" s="3">
        <v>56.536000000000001</v>
      </c>
      <c r="J5" s="5">
        <v>27.169</v>
      </c>
      <c r="K5" s="3">
        <v>62.664999999999999</v>
      </c>
      <c r="L5" s="3">
        <v>34.814</v>
      </c>
      <c r="M5" s="3"/>
      <c r="N5" s="3">
        <v>83.989000000000004</v>
      </c>
      <c r="O5" s="3">
        <v>44.225000000000001</v>
      </c>
      <c r="P5" s="3">
        <v>14.048999999999999</v>
      </c>
      <c r="Q5" s="6">
        <v>0.84850000000000003</v>
      </c>
      <c r="R5" s="7">
        <v>3.2871899581051021</v>
      </c>
      <c r="S5" s="7">
        <v>3.7753793724031302</v>
      </c>
      <c r="U5" s="9"/>
    </row>
    <row r="6" spans="1:21" ht="16.5" x14ac:dyDescent="0.3">
      <c r="A6" s="2">
        <v>2</v>
      </c>
      <c r="B6" s="2" t="s">
        <v>19</v>
      </c>
      <c r="C6" s="2" t="s">
        <v>22</v>
      </c>
      <c r="D6" s="2" t="s">
        <v>21</v>
      </c>
      <c r="E6" s="3">
        <v>-399.98910000000001</v>
      </c>
      <c r="F6" s="4"/>
      <c r="G6" s="3"/>
      <c r="H6" s="3">
        <v>212.94630000000001</v>
      </c>
      <c r="I6" s="3">
        <v>11.7464</v>
      </c>
      <c r="J6" s="5"/>
      <c r="K6" s="3">
        <v>23.565300000000001</v>
      </c>
      <c r="L6" s="3">
        <v>6.8467000000000002</v>
      </c>
      <c r="M6" s="3"/>
      <c r="N6" s="3">
        <v>24.7743</v>
      </c>
      <c r="O6" s="3">
        <v>24.439900000000002</v>
      </c>
      <c r="P6" s="3"/>
      <c r="Q6" s="6">
        <v>0.83420000000000005</v>
      </c>
      <c r="R6" s="7">
        <v>3.3763527440817973</v>
      </c>
      <c r="S6" s="7">
        <v>4.1898067136112314</v>
      </c>
      <c r="U6" s="9"/>
    </row>
    <row r="7" spans="1:21" ht="16.5" x14ac:dyDescent="0.3">
      <c r="A7" s="2">
        <v>3</v>
      </c>
      <c r="B7" s="2" t="s">
        <v>19</v>
      </c>
      <c r="C7" s="2" t="s">
        <v>20</v>
      </c>
      <c r="D7" s="2" t="s">
        <v>21</v>
      </c>
      <c r="E7" s="3">
        <v>-228</v>
      </c>
      <c r="F7" s="4">
        <v>1.065E-2</v>
      </c>
      <c r="G7" s="3"/>
      <c r="H7" s="3">
        <v>165</v>
      </c>
      <c r="I7" s="3"/>
      <c r="J7" s="5">
        <v>-7.2190000000000003</v>
      </c>
      <c r="K7" s="3"/>
      <c r="L7" s="3"/>
      <c r="M7" s="3"/>
      <c r="N7" s="3"/>
      <c r="O7" s="3"/>
      <c r="P7" s="3"/>
      <c r="Q7" s="6">
        <v>0.79069999999999996</v>
      </c>
      <c r="R7" s="7">
        <v>3.6970020635816923</v>
      </c>
      <c r="S7" s="7">
        <v>4.3682796303741478</v>
      </c>
      <c r="U7" s="9"/>
    </row>
    <row r="8" spans="1:21" ht="16.5" x14ac:dyDescent="0.3">
      <c r="A8" s="2">
        <v>4</v>
      </c>
      <c r="B8" s="2" t="s">
        <v>19</v>
      </c>
      <c r="C8" s="2" t="s">
        <v>20</v>
      </c>
      <c r="D8" s="2" t="s">
        <v>21</v>
      </c>
      <c r="E8" s="3">
        <v>-222.614</v>
      </c>
      <c r="F8" s="5"/>
      <c r="G8" s="3"/>
      <c r="H8" s="3">
        <v>167.517</v>
      </c>
      <c r="I8" s="3"/>
      <c r="J8" s="5">
        <v>-7.1559999999999997</v>
      </c>
      <c r="K8" s="3"/>
      <c r="L8" s="3"/>
      <c r="M8" s="3"/>
      <c r="N8" s="3"/>
      <c r="O8" s="3"/>
      <c r="P8" s="3"/>
      <c r="Q8" s="6">
        <v>0.78220000000000001</v>
      </c>
      <c r="R8" s="7">
        <v>3.7528634447620441</v>
      </c>
      <c r="S8" s="7">
        <v>4.5061243752427709</v>
      </c>
      <c r="U8" s="9"/>
    </row>
    <row r="9" spans="1:21" x14ac:dyDescent="0.25">
      <c r="A9" s="2"/>
      <c r="B9" s="2"/>
      <c r="C9" s="2"/>
      <c r="D9" s="2"/>
      <c r="E9" s="3"/>
      <c r="F9" s="4"/>
      <c r="G9" s="3"/>
      <c r="H9" s="3"/>
      <c r="I9" s="3"/>
      <c r="J9" s="5"/>
      <c r="K9" s="3"/>
      <c r="L9" s="3"/>
      <c r="M9" s="3"/>
      <c r="N9" s="3"/>
      <c r="O9" s="3"/>
      <c r="P9" s="3"/>
      <c r="Q9" s="6"/>
      <c r="R9" s="7"/>
      <c r="S9" s="7"/>
    </row>
    <row r="10" spans="1:21" ht="16.5" x14ac:dyDescent="0.3">
      <c r="A10" s="2">
        <v>5</v>
      </c>
      <c r="B10" s="2" t="s">
        <v>23</v>
      </c>
      <c r="C10" s="2" t="s">
        <v>25</v>
      </c>
      <c r="D10" s="11" t="s">
        <v>24</v>
      </c>
      <c r="E10" s="3">
        <v>23.487039200000002</v>
      </c>
      <c r="F10" s="10">
        <v>-1.0914E-3</v>
      </c>
      <c r="G10" s="3">
        <v>-2.5692099000000002</v>
      </c>
      <c r="H10" s="3"/>
      <c r="I10" s="12">
        <v>-1.3918929</v>
      </c>
      <c r="J10" s="3"/>
      <c r="K10" s="12">
        <v>-2.1195360999999999</v>
      </c>
      <c r="L10" s="3">
        <v>-1.0510775000000001</v>
      </c>
      <c r="M10" s="3"/>
      <c r="N10" s="12"/>
      <c r="O10" s="3">
        <v>-2.0634033999999999</v>
      </c>
      <c r="P10" s="3">
        <v>-1.5960633</v>
      </c>
      <c r="Q10" s="6">
        <v>0.82</v>
      </c>
      <c r="R10" s="7">
        <v>0.62129217181022423</v>
      </c>
      <c r="S10" s="7">
        <v>0.1662741988118871</v>
      </c>
    </row>
    <row r="11" spans="1:21" ht="16.5" x14ac:dyDescent="0.3">
      <c r="A11" s="2">
        <v>6</v>
      </c>
      <c r="B11" s="2" t="s">
        <v>23</v>
      </c>
      <c r="C11" s="2" t="s">
        <v>25</v>
      </c>
      <c r="D11" s="11" t="s">
        <v>24</v>
      </c>
      <c r="E11" s="3">
        <v>22.464960000000001</v>
      </c>
      <c r="F11" s="5"/>
      <c r="G11" s="3">
        <v>-2.5975299999999999</v>
      </c>
      <c r="H11" s="3"/>
      <c r="I11" s="5">
        <v>-1.1550199999999999</v>
      </c>
      <c r="J11" s="3"/>
      <c r="K11" s="5">
        <v>-2.2328700000000001</v>
      </c>
      <c r="L11" s="3">
        <v>-1.03193</v>
      </c>
      <c r="M11" s="3"/>
      <c r="N11" s="5"/>
      <c r="O11" s="3">
        <v>-1.9825299999999999</v>
      </c>
      <c r="P11" s="3">
        <v>-1.5591200000000001</v>
      </c>
      <c r="Q11" s="6">
        <v>0.81259999999999999</v>
      </c>
      <c r="R11" s="7">
        <v>0.66008946743801222</v>
      </c>
      <c r="S11" s="7">
        <v>0.16401656542525617</v>
      </c>
    </row>
    <row r="12" spans="1:21" x14ac:dyDescent="0.25">
      <c r="A12" s="2"/>
      <c r="B12" s="2"/>
      <c r="C12" s="2"/>
      <c r="D12" s="11"/>
      <c r="E12" s="3"/>
      <c r="F12" s="5"/>
      <c r="G12" s="3"/>
      <c r="H12" s="3"/>
      <c r="I12" s="5"/>
      <c r="J12" s="3"/>
      <c r="K12" s="5"/>
      <c r="L12" s="3"/>
      <c r="M12" s="3"/>
      <c r="N12" s="5"/>
      <c r="O12" s="3"/>
      <c r="P12" s="3"/>
      <c r="Q12" s="6"/>
      <c r="R12" s="7"/>
      <c r="S12" s="7"/>
    </row>
    <row r="13" spans="1:21" ht="16.5" x14ac:dyDescent="0.3">
      <c r="A13" s="2">
        <v>7</v>
      </c>
      <c r="B13" s="2" t="s">
        <v>26</v>
      </c>
      <c r="C13" s="2" t="s">
        <v>25</v>
      </c>
      <c r="D13" s="11" t="s">
        <v>27</v>
      </c>
      <c r="E13" s="3">
        <v>24.461320000000001</v>
      </c>
      <c r="F13" s="5"/>
      <c r="G13" s="3">
        <v>-2.7230799999999999</v>
      </c>
      <c r="H13" s="3"/>
      <c r="I13" s="3">
        <v>-1.07345</v>
      </c>
      <c r="J13" s="3"/>
      <c r="K13" s="3">
        <v>-1.0466</v>
      </c>
      <c r="L13" s="3">
        <v>-0.25801000000000002</v>
      </c>
      <c r="M13" s="3"/>
      <c r="N13" s="5">
        <v>-1.93601</v>
      </c>
      <c r="O13" s="3">
        <v>-2.5228100000000002</v>
      </c>
      <c r="P13" s="12"/>
      <c r="Q13" s="6">
        <v>0.71199999999999997</v>
      </c>
      <c r="R13" s="7">
        <v>1.6686273766357766</v>
      </c>
      <c r="S13" s="7">
        <v>1.5368579574926764</v>
      </c>
    </row>
    <row r="14" spans="1:21" ht="16.5" x14ac:dyDescent="0.3">
      <c r="A14" s="2">
        <v>8</v>
      </c>
      <c r="B14" s="2" t="s">
        <v>28</v>
      </c>
      <c r="C14" s="2" t="s">
        <v>29</v>
      </c>
      <c r="D14" s="11" t="s">
        <v>27</v>
      </c>
      <c r="E14" s="3">
        <v>15.68642</v>
      </c>
      <c r="F14" s="5"/>
      <c r="G14" s="3">
        <v>-2.0965699999999998</v>
      </c>
      <c r="H14" s="3"/>
      <c r="I14" s="3"/>
      <c r="J14" s="3">
        <v>0.36457000000000001</v>
      </c>
      <c r="K14" s="3"/>
      <c r="L14" s="3"/>
      <c r="M14" s="3"/>
      <c r="N14" s="5"/>
      <c r="O14" s="3">
        <v>-1.33131</v>
      </c>
      <c r="P14" s="12"/>
      <c r="Q14" s="6">
        <v>0.69920000000000004</v>
      </c>
      <c r="R14" s="7">
        <v>1.7580896477972601</v>
      </c>
      <c r="S14" s="7">
        <v>1.3489823608520681</v>
      </c>
    </row>
    <row r="15" spans="1:21" x14ac:dyDescent="0.25">
      <c r="B15" s="2"/>
      <c r="C15" s="2"/>
      <c r="D15" s="2"/>
      <c r="E15" s="3"/>
      <c r="F15" s="5"/>
      <c r="G15" s="3"/>
      <c r="H15" s="3"/>
      <c r="I15" s="3"/>
      <c r="J15" s="3"/>
      <c r="K15" s="3"/>
      <c r="L15" s="3"/>
      <c r="M15" s="3"/>
      <c r="N15" s="5"/>
      <c r="O15" s="3"/>
      <c r="P15" s="12"/>
      <c r="Q15" s="6"/>
      <c r="R15" s="7"/>
      <c r="S15" s="7"/>
    </row>
    <row r="16" spans="1:21" ht="16.5" x14ac:dyDescent="0.3">
      <c r="A16" s="2">
        <v>9</v>
      </c>
      <c r="B16" s="2" t="s">
        <v>30</v>
      </c>
      <c r="C16" s="2" t="s">
        <v>25</v>
      </c>
      <c r="D16" s="11" t="s">
        <v>31</v>
      </c>
      <c r="E16" s="3">
        <v>12.66175</v>
      </c>
      <c r="F16" s="12"/>
      <c r="G16" s="3">
        <v>-2.6318899999999998</v>
      </c>
      <c r="H16" s="3"/>
      <c r="I16" s="3">
        <v>1.0499499999999999</v>
      </c>
      <c r="J16" s="3">
        <v>1.2603500000000001</v>
      </c>
      <c r="K16" s="12"/>
      <c r="L16" s="12"/>
      <c r="M16" s="12"/>
      <c r="N16" s="12"/>
      <c r="O16" s="12"/>
      <c r="P16" s="12"/>
      <c r="Q16" s="13">
        <v>0.79790000000000005</v>
      </c>
      <c r="R16" s="7">
        <v>0.96</v>
      </c>
      <c r="S16" s="7">
        <v>0.64</v>
      </c>
    </row>
    <row r="17" spans="1:19" x14ac:dyDescent="0.25">
      <c r="A17" s="2"/>
      <c r="B17" s="2"/>
      <c r="C17" s="2"/>
      <c r="D17" s="2"/>
      <c r="E17" s="3"/>
      <c r="F17" s="12"/>
      <c r="G17" s="3"/>
      <c r="H17" s="3"/>
      <c r="I17" s="3"/>
      <c r="J17" s="3"/>
      <c r="K17" s="12"/>
      <c r="L17" s="12"/>
      <c r="M17" s="12"/>
      <c r="N17" s="12"/>
      <c r="O17" s="12"/>
      <c r="P17" s="12"/>
      <c r="Q17" s="6"/>
      <c r="R17" s="7"/>
      <c r="S17" s="7"/>
    </row>
    <row r="18" spans="1:19" ht="16.5" x14ac:dyDescent="0.3">
      <c r="A18" s="2">
        <v>10</v>
      </c>
      <c r="B18" s="2" t="s">
        <v>32</v>
      </c>
      <c r="C18" s="2" t="s">
        <v>25</v>
      </c>
      <c r="D18" s="2" t="s">
        <v>33</v>
      </c>
      <c r="E18" s="3">
        <v>41.278399999999998</v>
      </c>
      <c r="F18" s="5"/>
      <c r="G18" s="3">
        <v>-7.1955</v>
      </c>
      <c r="H18" s="3"/>
      <c r="I18" s="5"/>
      <c r="J18" s="5">
        <v>3.6412</v>
      </c>
      <c r="K18" s="3"/>
      <c r="L18" s="3"/>
      <c r="M18" s="3"/>
      <c r="N18" s="3"/>
      <c r="O18" s="12"/>
      <c r="P18" s="3">
        <v>-5.0437000000000003</v>
      </c>
      <c r="Q18" s="6">
        <v>0.60609999999999997</v>
      </c>
      <c r="R18" s="7">
        <v>1.3451861523048014</v>
      </c>
      <c r="S18" s="7">
        <v>1.231541166077595</v>
      </c>
    </row>
    <row r="19" spans="1:19" ht="16.5" x14ac:dyDescent="0.3">
      <c r="A19" s="2">
        <v>11</v>
      </c>
      <c r="B19" s="2" t="s">
        <v>34</v>
      </c>
      <c r="C19" s="2" t="s">
        <v>25</v>
      </c>
      <c r="D19" s="11" t="s">
        <v>35</v>
      </c>
      <c r="E19" s="3">
        <v>6.4192</v>
      </c>
      <c r="F19" s="5"/>
      <c r="G19" s="3">
        <v>-1.1737200000000001</v>
      </c>
      <c r="H19" s="3"/>
      <c r="I19" s="5">
        <v>1.31976</v>
      </c>
      <c r="J19" s="3">
        <v>0.67732999999999999</v>
      </c>
      <c r="K19" s="3"/>
      <c r="L19" s="3"/>
      <c r="M19" s="3"/>
      <c r="N19" s="5"/>
      <c r="O19" s="3"/>
      <c r="P19" s="5"/>
      <c r="Q19" s="6">
        <v>0.71140000000000003</v>
      </c>
      <c r="R19" s="7">
        <v>1.312757986746339</v>
      </c>
      <c r="S19" s="7">
        <v>1.4276662973808285</v>
      </c>
    </row>
    <row r="20" spans="1:19" x14ac:dyDescent="0.25">
      <c r="A20" s="2"/>
      <c r="B20" s="2"/>
      <c r="C20" s="2"/>
      <c r="D20" s="2"/>
      <c r="E20" s="3"/>
      <c r="F20" s="5"/>
      <c r="G20" s="3"/>
      <c r="H20" s="3"/>
      <c r="I20" s="5"/>
      <c r="J20" s="3"/>
      <c r="K20" s="3"/>
      <c r="L20" s="3"/>
      <c r="M20" s="3"/>
      <c r="N20" s="5"/>
      <c r="O20" s="3"/>
      <c r="P20" s="5"/>
      <c r="Q20" s="6"/>
      <c r="R20" s="7"/>
      <c r="S20" s="7"/>
    </row>
    <row r="21" spans="1:19" ht="16.5" x14ac:dyDescent="0.3">
      <c r="A21" s="2">
        <v>12</v>
      </c>
      <c r="B21" s="2" t="s">
        <v>36</v>
      </c>
      <c r="C21" s="2" t="s">
        <v>25</v>
      </c>
      <c r="D21" s="2" t="s">
        <v>37</v>
      </c>
      <c r="E21" s="3">
        <v>100.5909</v>
      </c>
      <c r="F21" s="5"/>
      <c r="G21" s="3">
        <v>-4.3246000000000002</v>
      </c>
      <c r="H21" s="3"/>
      <c r="I21" s="3">
        <v>-17.825600000000001</v>
      </c>
      <c r="J21" s="3">
        <v>-10.0901</v>
      </c>
      <c r="K21" s="5">
        <v>-15.683</v>
      </c>
      <c r="L21" s="3">
        <v>-8.8003999999999998</v>
      </c>
      <c r="M21" s="3"/>
      <c r="N21" s="3">
        <v>-19.744800000000001</v>
      </c>
      <c r="O21" s="3">
        <v>-6.3727</v>
      </c>
      <c r="P21" s="3">
        <v>-5.8068999999999997</v>
      </c>
      <c r="Q21" s="6">
        <v>0.62949999999999995</v>
      </c>
      <c r="R21" s="7">
        <v>0.59335112237699561</v>
      </c>
      <c r="S21" s="7">
        <v>0.78440796017202186</v>
      </c>
    </row>
    <row r="22" spans="1:19" ht="16.5" x14ac:dyDescent="0.3">
      <c r="A22" s="2">
        <v>13</v>
      </c>
      <c r="B22" s="2" t="s">
        <v>36</v>
      </c>
      <c r="C22" s="2" t="s">
        <v>29</v>
      </c>
      <c r="D22" s="2" t="s">
        <v>37</v>
      </c>
      <c r="E22" s="3">
        <v>-16.53</v>
      </c>
      <c r="F22" s="5"/>
      <c r="G22" s="3">
        <v>1.6878</v>
      </c>
      <c r="H22" s="3"/>
      <c r="I22" s="3"/>
      <c r="J22" s="3"/>
      <c r="K22" s="5"/>
      <c r="L22" s="3"/>
      <c r="M22" s="3">
        <v>1.2354000000000001</v>
      </c>
      <c r="N22" s="3">
        <v>5.0404</v>
      </c>
      <c r="O22" s="3">
        <v>2.9702999999999999</v>
      </c>
      <c r="P22" s="3"/>
      <c r="Q22" s="6">
        <v>0.43409999999999999</v>
      </c>
      <c r="R22" s="7">
        <v>0.57123835238294218</v>
      </c>
      <c r="S22" s="7">
        <v>0.6891136561586938</v>
      </c>
    </row>
    <row r="23" spans="1:19" x14ac:dyDescent="0.25">
      <c r="A23" s="2"/>
      <c r="B23" s="2"/>
      <c r="C23" s="2"/>
      <c r="D23" s="2"/>
      <c r="E23" s="3"/>
      <c r="F23" s="5"/>
      <c r="G23" s="3"/>
      <c r="H23" s="3"/>
      <c r="I23" s="3"/>
      <c r="J23" s="3"/>
      <c r="K23" s="5"/>
      <c r="L23" s="3"/>
      <c r="M23" s="3"/>
      <c r="N23" s="3"/>
      <c r="O23" s="3"/>
      <c r="P23" s="3"/>
      <c r="Q23" s="6"/>
      <c r="R23" s="7"/>
      <c r="S23" s="7"/>
    </row>
    <row r="24" spans="1:19" ht="16.5" x14ac:dyDescent="0.3">
      <c r="A24" s="14">
        <v>14</v>
      </c>
      <c r="B24" s="14" t="s">
        <v>38</v>
      </c>
      <c r="C24" s="2" t="s">
        <v>25</v>
      </c>
      <c r="D24" s="14" t="s">
        <v>39</v>
      </c>
      <c r="E24" s="15">
        <v>4.5730000000000004</v>
      </c>
      <c r="F24" s="15"/>
      <c r="G24" s="16"/>
      <c r="H24" s="16"/>
      <c r="I24" s="15">
        <v>6.9408000000000003</v>
      </c>
      <c r="J24" s="15">
        <v>1.0059</v>
      </c>
      <c r="K24" s="16">
        <v>4.5448000000000004</v>
      </c>
      <c r="L24" s="15"/>
      <c r="M24" s="15"/>
      <c r="N24" s="15">
        <v>5.9679000000000002</v>
      </c>
      <c r="O24" s="16"/>
      <c r="P24" s="15">
        <v>7.1501000000000001</v>
      </c>
      <c r="Q24" s="17">
        <v>0.58479999999999999</v>
      </c>
      <c r="R24" s="18">
        <v>0.93</v>
      </c>
      <c r="S24" s="18">
        <v>1.1100000000000001</v>
      </c>
    </row>
    <row r="25" spans="1:19" x14ac:dyDescent="0.25">
      <c r="A25" s="109" t="s">
        <v>119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</row>
  </sheetData>
  <sheetProtection sheet="1" objects="1" scenarios="1"/>
  <mergeCells count="10">
    <mergeCell ref="Q3:Q4"/>
    <mergeCell ref="R3:R4"/>
    <mergeCell ref="S3:S4"/>
    <mergeCell ref="A25:R25"/>
    <mergeCell ref="A3:A4"/>
    <mergeCell ref="B3:B4"/>
    <mergeCell ref="C3:C4"/>
    <mergeCell ref="D3:D4"/>
    <mergeCell ref="E3:E4"/>
    <mergeCell ref="F3:P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calcs</vt:lpstr>
      <vt:lpstr>parameters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Humphreys</dc:creator>
  <cp:lastModifiedBy>KHARLAMOVA E.</cp:lastModifiedBy>
  <dcterms:created xsi:type="dcterms:W3CDTF">2017-01-20T11:46:17Z</dcterms:created>
  <dcterms:modified xsi:type="dcterms:W3CDTF">2017-02-22T16:56:56Z</dcterms:modified>
</cp:coreProperties>
</file>