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evens\dul4he\DUDE\Desktop\"/>
    </mc:Choice>
  </mc:AlternateContent>
  <bookViews>
    <workbookView xWindow="0" yWindow="0" windowWidth="25594" windowHeight="15541" tabRatio="500" activeTab="3"/>
  </bookViews>
  <sheets>
    <sheet name="readme" sheetId="5" r:id="rId1"/>
    <sheet name="traces_calc" sheetId="1" r:id="rId2"/>
    <sheet name="traces_params" sheetId="2" r:id="rId3"/>
    <sheet name="majors_calc" sheetId="3" r:id="rId4"/>
    <sheet name="majors_params" sheetId="4" r:id="rId5"/>
  </sheets>
  <definedNames>
    <definedName name="lnSr_final" localSheetId="1">traces_calc!#REF!</definedName>
    <definedName name="lnYb" localSheetId="1">traces_calc!#REF!</definedName>
    <definedName name="lnZr" localSheetId="1">traces_calc!#REF!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3" l="1"/>
  <c r="AC6" i="3" s="1"/>
  <c r="R6" i="3"/>
  <c r="AD6" i="3" s="1"/>
  <c r="S6" i="3"/>
  <c r="AE6" i="3" s="1"/>
  <c r="T6" i="3"/>
  <c r="AF6" i="3" s="1"/>
  <c r="U6" i="3"/>
  <c r="AG6" i="3"/>
  <c r="V6" i="3"/>
  <c r="AH6" i="3" s="1"/>
  <c r="W6" i="3"/>
  <c r="AI6" i="3"/>
  <c r="X6" i="3"/>
  <c r="AJ6" i="3" s="1"/>
  <c r="Y6" i="3"/>
  <c r="AK6" i="3" s="1"/>
  <c r="Z6" i="3"/>
  <c r="AL6" i="3" s="1"/>
  <c r="AA6" i="3"/>
  <c r="AB6" i="3"/>
  <c r="O6" i="3"/>
  <c r="Q5" i="3"/>
  <c r="AC5" i="3"/>
  <c r="R5" i="3"/>
  <c r="AD5" i="3"/>
  <c r="S5" i="3"/>
  <c r="AE5" i="3"/>
  <c r="T5" i="3"/>
  <c r="AF5" i="3"/>
  <c r="U5" i="3"/>
  <c r="AG5" i="3"/>
  <c r="V5" i="3"/>
  <c r="AH5" i="3"/>
  <c r="W5" i="3"/>
  <c r="AI5" i="3"/>
  <c r="X5" i="3"/>
  <c r="AJ5" i="3"/>
  <c r="Y5" i="3"/>
  <c r="AK5" i="3"/>
  <c r="Z5" i="3"/>
  <c r="AL5" i="3"/>
  <c r="AA5" i="3"/>
  <c r="AB5" i="3"/>
  <c r="O5" i="3"/>
  <c r="L5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K5" i="1"/>
  <c r="AU5" i="3" l="1"/>
  <c r="BF5" i="3" s="1"/>
  <c r="AP6" i="3"/>
  <c r="BA6" i="3" s="1"/>
  <c r="AV5" i="3"/>
  <c r="BG5" i="3" s="1"/>
  <c r="AT5" i="3"/>
  <c r="BE5" i="3" s="1"/>
  <c r="AR5" i="3"/>
  <c r="BC5" i="3" s="1"/>
  <c r="AM5" i="3"/>
  <c r="AM6" i="3"/>
  <c r="AN6" i="3"/>
  <c r="AO5" i="3"/>
  <c r="AZ5" i="3" s="1"/>
  <c r="AY6" i="3" l="1"/>
  <c r="EC5" i="3"/>
  <c r="AS6" i="3"/>
  <c r="BD6" i="3" s="1"/>
  <c r="AQ6" i="3"/>
  <c r="BB6" i="3" s="1"/>
  <c r="AT6" i="3"/>
  <c r="BE6" i="3" s="1"/>
  <c r="AW6" i="3"/>
  <c r="BH6" i="3" s="1"/>
  <c r="CF6" i="3" s="1"/>
  <c r="AR6" i="3"/>
  <c r="BC6" i="3" s="1"/>
  <c r="BJ6" i="3"/>
  <c r="AU6" i="3"/>
  <c r="BF6" i="3" s="1"/>
  <c r="CB5" i="3"/>
  <c r="AV6" i="3"/>
  <c r="BG6" i="3" s="1"/>
  <c r="BI6" i="3"/>
  <c r="AP5" i="3"/>
  <c r="BA5" i="3" s="1"/>
  <c r="AW5" i="3"/>
  <c r="BH5" i="3" s="1"/>
  <c r="CF5" i="3" s="1"/>
  <c r="BJ5" i="3"/>
  <c r="AQ5" i="3"/>
  <c r="BB5" i="3" s="1"/>
  <c r="AN5" i="3"/>
  <c r="AS5" i="3"/>
  <c r="BD5" i="3" s="1"/>
  <c r="AO6" i="3"/>
  <c r="AZ6" i="3" s="1"/>
  <c r="BI5" i="3"/>
  <c r="BK5" i="3" s="1"/>
  <c r="AY5" i="3" l="1"/>
  <c r="AX5" i="3"/>
  <c r="EC6" i="3"/>
  <c r="CJ6" i="3"/>
  <c r="CK6" i="3"/>
  <c r="BM6" i="3"/>
  <c r="CI6" i="3"/>
  <c r="CM6" i="3" s="1"/>
  <c r="EA6" i="3"/>
  <c r="DZ6" i="3"/>
  <c r="BL6" i="3"/>
  <c r="AX6" i="3"/>
  <c r="BK6" i="3"/>
  <c r="CB6" i="3"/>
  <c r="EB6" i="3"/>
  <c r="CP6" i="3" l="1"/>
  <c r="CW6" i="3"/>
  <c r="CV6" i="3"/>
  <c r="CR6" i="3"/>
  <c r="CX6" i="3"/>
  <c r="DW6" i="3" s="1"/>
  <c r="CS6" i="3"/>
  <c r="CO6" i="3"/>
  <c r="CT6" i="3"/>
  <c r="DS6" i="3" s="1"/>
  <c r="CN6" i="3"/>
  <c r="CU6" i="3"/>
  <c r="CZ6" i="3"/>
  <c r="CY6" i="3"/>
  <c r="CQ6" i="3"/>
  <c r="BN6" i="3"/>
  <c r="EE6" i="3"/>
  <c r="CJ5" i="3"/>
  <c r="EA5" i="3"/>
  <c r="DZ5" i="3"/>
  <c r="CK5" i="3"/>
  <c r="BM5" i="3"/>
  <c r="BL5" i="3"/>
  <c r="CI5" i="3"/>
  <c r="EB5" i="3"/>
  <c r="EK6" i="3" l="1"/>
  <c r="EO6" i="3"/>
  <c r="FO6" i="3" s="1"/>
  <c r="EQ6" i="3"/>
  <c r="EN6" i="3"/>
  <c r="EJ6" i="3"/>
  <c r="FU6" i="3"/>
  <c r="EH6" i="3"/>
  <c r="EL6" i="3"/>
  <c r="FK6" i="3" s="1"/>
  <c r="EF6" i="3"/>
  <c r="EM6" i="3"/>
  <c r="EG6" i="3"/>
  <c r="ER6" i="3"/>
  <c r="EI6" i="3"/>
  <c r="EP6" i="3"/>
  <c r="CM5" i="3"/>
  <c r="EE5" i="3"/>
  <c r="BO6" i="3"/>
  <c r="BP6" i="3" s="1"/>
  <c r="BQ6" i="3"/>
  <c r="BN5" i="3"/>
  <c r="DD6" i="3"/>
  <c r="DA6" i="3"/>
  <c r="DB6" i="3" s="1"/>
  <c r="BO5" i="3" l="1"/>
  <c r="BQ5" i="3"/>
  <c r="BR6" i="3"/>
  <c r="BS6" i="3"/>
  <c r="BP5" i="3"/>
  <c r="CN5" i="3"/>
  <c r="CO5" i="3"/>
  <c r="CR5" i="3"/>
  <c r="CX5" i="3"/>
  <c r="DW5" i="3" s="1"/>
  <c r="CZ5" i="3"/>
  <c r="CV5" i="3"/>
  <c r="CT5" i="3"/>
  <c r="DS5" i="3" s="1"/>
  <c r="CY5" i="3"/>
  <c r="CU5" i="3"/>
  <c r="CW5" i="3"/>
  <c r="CS5" i="3"/>
  <c r="CQ5" i="3"/>
  <c r="CP5" i="3"/>
  <c r="DC6" i="3"/>
  <c r="DK6" i="3"/>
  <c r="FV6" i="3"/>
  <c r="FY6" i="3"/>
  <c r="GB6" i="3"/>
  <c r="HA6" i="3" s="1"/>
  <c r="GG6" i="3"/>
  <c r="GC6" i="3"/>
  <c r="GH6" i="3"/>
  <c r="FX6" i="3"/>
  <c r="GD6" i="3"/>
  <c r="GF6" i="3"/>
  <c r="FZ6" i="3"/>
  <c r="GA6" i="3"/>
  <c r="GE6" i="3"/>
  <c r="HE6" i="3" s="1"/>
  <c r="FW6" i="3"/>
  <c r="DE6" i="3"/>
  <c r="EK5" i="3"/>
  <c r="EO5" i="3"/>
  <c r="FO5" i="3" s="1"/>
  <c r="EQ5" i="3"/>
  <c r="EF5" i="3"/>
  <c r="EI5" i="3"/>
  <c r="EM5" i="3"/>
  <c r="EP5" i="3"/>
  <c r="EN5" i="3"/>
  <c r="EG5" i="3"/>
  <c r="ER5" i="3"/>
  <c r="FU5" i="3"/>
  <c r="EJ5" i="3"/>
  <c r="EH5" i="3"/>
  <c r="EL5" i="3"/>
  <c r="FK5" i="3" s="1"/>
  <c r="EV6" i="3"/>
  <c r="ES6" i="3"/>
  <c r="ET6" i="3" s="1"/>
  <c r="BR5" i="3" l="1"/>
  <c r="BS5" i="3"/>
  <c r="BU5" i="3"/>
  <c r="BY5" i="3" s="1"/>
  <c r="DA5" i="3"/>
  <c r="DB5" i="3" s="1"/>
  <c r="DD5" i="3"/>
  <c r="EU6" i="3"/>
  <c r="FC6" i="3"/>
  <c r="EV5" i="3"/>
  <c r="ES5" i="3"/>
  <c r="ET5" i="3" s="1"/>
  <c r="BU6" i="3"/>
  <c r="BY6" i="3" s="1"/>
  <c r="EW6" i="3"/>
  <c r="FV5" i="3"/>
  <c r="FY5" i="3"/>
  <c r="GB5" i="3"/>
  <c r="HA5" i="3" s="1"/>
  <c r="GG5" i="3"/>
  <c r="FW5" i="3"/>
  <c r="GA5" i="3"/>
  <c r="GC5" i="3"/>
  <c r="GH5" i="3"/>
  <c r="GE5" i="3"/>
  <c r="HE5" i="3" s="1"/>
  <c r="FZ5" i="3"/>
  <c r="GF5" i="3"/>
  <c r="FX5" i="3"/>
  <c r="GD5" i="3"/>
  <c r="DF6" i="3"/>
  <c r="DG6" i="3" s="1"/>
  <c r="DH6" i="3"/>
  <c r="GI6" i="3"/>
  <c r="GJ6" i="3" s="1"/>
  <c r="GS6" i="3" s="1"/>
  <c r="GL6" i="3"/>
  <c r="EX6" i="3" l="1"/>
  <c r="EZ6" i="3"/>
  <c r="DE5" i="3"/>
  <c r="BV6" i="3"/>
  <c r="BZ6" i="3" s="1"/>
  <c r="DJ6" i="3"/>
  <c r="DL6" i="3"/>
  <c r="DP6" i="3" s="1"/>
  <c r="DI6" i="3"/>
  <c r="FC5" i="3"/>
  <c r="EU5" i="3"/>
  <c r="BV5" i="3"/>
  <c r="BZ5" i="3" s="1"/>
  <c r="GM6" i="3"/>
  <c r="HM6" i="3"/>
  <c r="HK6" i="3"/>
  <c r="EW5" i="3"/>
  <c r="GI5" i="3"/>
  <c r="GJ5" i="3" s="1"/>
  <c r="GS5" i="3" s="1"/>
  <c r="GL5" i="3"/>
  <c r="EY6" i="3"/>
  <c r="DK5" i="3"/>
  <c r="DC5" i="3"/>
  <c r="CD6" i="3" l="1"/>
  <c r="BW6" i="3"/>
  <c r="CA6" i="3" s="1"/>
  <c r="CC6" i="3" s="1"/>
  <c r="CE6" i="3" s="1"/>
  <c r="CG6" i="3" s="1"/>
  <c r="GM5" i="3"/>
  <c r="HM5" i="3"/>
  <c r="HK5" i="3"/>
  <c r="DM6" i="3"/>
  <c r="GN6" i="3"/>
  <c r="GP6" i="3"/>
  <c r="FA6" i="3"/>
  <c r="FB6" i="3"/>
  <c r="EX5" i="3"/>
  <c r="EY5" i="3" s="1"/>
  <c r="EZ5" i="3"/>
  <c r="GO6" i="3"/>
  <c r="BX6" i="3"/>
  <c r="DF5" i="3"/>
  <c r="DG5" i="3" s="1"/>
  <c r="DH5" i="3"/>
  <c r="BW5" i="3"/>
  <c r="CA5" i="3" s="1"/>
  <c r="CC5" i="3" s="1"/>
  <c r="CE5" i="3" s="1"/>
  <c r="CG5" i="3" s="1"/>
  <c r="DQ6" i="3" l="1"/>
  <c r="DN6" i="3"/>
  <c r="DR6" i="3" s="1"/>
  <c r="CD5" i="3"/>
  <c r="GN5" i="3"/>
  <c r="GO5" i="3" s="1"/>
  <c r="GP5" i="3"/>
  <c r="DI5" i="3"/>
  <c r="DJ5" i="3"/>
  <c r="DL5" i="3" s="1"/>
  <c r="DP5" i="3" s="1"/>
  <c r="GQ6" i="3"/>
  <c r="HJ6" i="3" s="1"/>
  <c r="GR6" i="3"/>
  <c r="GT6" i="3" s="1"/>
  <c r="BX5" i="3"/>
  <c r="FD6" i="3"/>
  <c r="FA5" i="3"/>
  <c r="GX6" i="3" l="1"/>
  <c r="FD5" i="3"/>
  <c r="DM5" i="3"/>
  <c r="DQ5" i="3" s="1"/>
  <c r="DT6" i="3"/>
  <c r="DV6" i="3" s="1"/>
  <c r="DX6" i="3" s="1"/>
  <c r="FB5" i="3"/>
  <c r="FH6" i="3"/>
  <c r="FE6" i="3"/>
  <c r="FG6" i="3" s="1"/>
  <c r="GU6" i="3"/>
  <c r="FF6" i="3"/>
  <c r="FJ6" i="3" s="1"/>
  <c r="DO6" i="3"/>
  <c r="FE5" i="3"/>
  <c r="FG5" i="3" s="1"/>
  <c r="GQ5" i="3"/>
  <c r="HJ5" i="3" s="1"/>
  <c r="GR5" i="3"/>
  <c r="GT5" i="3" s="1"/>
  <c r="FF5" i="3"/>
  <c r="FJ5" i="3" s="1"/>
  <c r="GX5" i="3" l="1"/>
  <c r="GY6" i="3"/>
  <c r="HP6" i="3" s="1"/>
  <c r="GU5" i="3"/>
  <c r="FI6" i="3"/>
  <c r="FS6" i="3" s="1"/>
  <c r="DU6" i="3"/>
  <c r="HB6" i="3"/>
  <c r="HD6" i="3" s="1"/>
  <c r="FI5" i="3"/>
  <c r="FS5" i="3" s="1"/>
  <c r="GV6" i="3"/>
  <c r="GZ6" i="3" s="1"/>
  <c r="HC6" i="3" s="1"/>
  <c r="DN5" i="3"/>
  <c r="DR5" i="3" s="1"/>
  <c r="FH5" i="3"/>
  <c r="HX6" i="3"/>
  <c r="HH6" i="3"/>
  <c r="HF6" i="3" l="1"/>
  <c r="HI6" i="3"/>
  <c r="HL6" i="3" s="1"/>
  <c r="HW6" i="3"/>
  <c r="HR6" i="3"/>
  <c r="IA6" i="3"/>
  <c r="HS6" i="3"/>
  <c r="HZ6" i="3"/>
  <c r="IB6" i="3"/>
  <c r="DO5" i="3"/>
  <c r="GW6" i="3"/>
  <c r="HO6" i="3"/>
  <c r="HT6" i="3"/>
  <c r="HU6" i="3"/>
  <c r="HV6" i="3"/>
  <c r="HG6" i="3"/>
  <c r="DT5" i="3"/>
  <c r="DV5" i="3" s="1"/>
  <c r="DX5" i="3" s="1"/>
  <c r="HY6" i="3"/>
  <c r="FL6" i="3"/>
  <c r="HQ6" i="3"/>
  <c r="GY5" i="3"/>
  <c r="GV5" i="3"/>
  <c r="HH5" i="3"/>
  <c r="FL5" i="3"/>
  <c r="FN5" i="3" s="1"/>
  <c r="FM5" i="3"/>
  <c r="GZ5" i="3" l="1"/>
  <c r="HC5" i="3" s="1"/>
  <c r="GW5" i="3"/>
  <c r="FP5" i="3"/>
  <c r="FQ5" i="3"/>
  <c r="FR5" i="3" s="1"/>
  <c r="HB5" i="3"/>
  <c r="HD5" i="3" s="1"/>
  <c r="IA5" i="3"/>
  <c r="FN6" i="3"/>
  <c r="FM6" i="3"/>
  <c r="HW5" i="3"/>
  <c r="DU5" i="3"/>
  <c r="HF5" i="3" l="1"/>
  <c r="HI5" i="3"/>
  <c r="HL5" i="3" s="1"/>
  <c r="HZ5" i="3"/>
  <c r="HG5" i="3"/>
  <c r="HQ5" i="3"/>
  <c r="HV5" i="3"/>
  <c r="HU5" i="3"/>
  <c r="HY5" i="3"/>
  <c r="HR5" i="3"/>
  <c r="HP5" i="3"/>
  <c r="IB5" i="3"/>
  <c r="HS5" i="3"/>
  <c r="HT5" i="3"/>
  <c r="FP6" i="3"/>
  <c r="FQ6" i="3" s="1"/>
  <c r="FR6" i="3" s="1"/>
  <c r="HX5" i="3"/>
  <c r="HO5" i="3"/>
</calcChain>
</file>

<file path=xl/sharedStrings.xml><?xml version="1.0" encoding="utf-8"?>
<sst xmlns="http://schemas.openxmlformats.org/spreadsheetml/2006/main" count="493" uniqueCount="239">
  <si>
    <t>Species</t>
  </si>
  <si>
    <t>Ti</t>
  </si>
  <si>
    <t>Fe3+</t>
  </si>
  <si>
    <t>Mg</t>
  </si>
  <si>
    <t>Fe2+</t>
  </si>
  <si>
    <t>Ca</t>
  </si>
  <si>
    <t>Intercept</t>
  </si>
  <si>
    <t>Siamph</t>
  </si>
  <si>
    <t>Al6amph</t>
  </si>
  <si>
    <t>Tiamph</t>
  </si>
  <si>
    <t>Fe3amph</t>
  </si>
  <si>
    <t>Fe2amph</t>
  </si>
  <si>
    <t>Mgamph</t>
  </si>
  <si>
    <t>Caamph</t>
  </si>
  <si>
    <t>NaAamph</t>
  </si>
  <si>
    <t>SE</t>
  </si>
  <si>
    <t>R2</t>
  </si>
  <si>
    <t>lnDRb</t>
  </si>
  <si>
    <t>±</t>
  </si>
  <si>
    <t>lnDSr</t>
  </si>
  <si>
    <t>lnDPb</t>
  </si>
  <si>
    <t>lnDU</t>
  </si>
  <si>
    <t>lnDNb</t>
  </si>
  <si>
    <t>lnDZr</t>
  </si>
  <si>
    <t>lnDLa</t>
  </si>
  <si>
    <t>lnDCe</t>
  </si>
  <si>
    <t>lnDNd</t>
  </si>
  <si>
    <t>lnDSm</t>
  </si>
  <si>
    <t>lnDEu</t>
  </si>
  <si>
    <t>lnDGd</t>
  </si>
  <si>
    <t>lnDDy</t>
  </si>
  <si>
    <t>lnDHo</t>
  </si>
  <si>
    <t>lnDYb</t>
  </si>
  <si>
    <t>lnDLu</t>
  </si>
  <si>
    <t>lnDY</t>
  </si>
  <si>
    <t>SiT</t>
  </si>
  <si>
    <t>NaA</t>
  </si>
  <si>
    <t>Al6</t>
  </si>
  <si>
    <t>Molar proportions of Oxides</t>
  </si>
  <si>
    <t>Oxygen proportions contributed by oxides</t>
  </si>
  <si>
    <t>Oxygen proportions normalized to Mineral formula basis (23 oxy)</t>
  </si>
  <si>
    <t>Corresponding number of atoms contributed to formula (all ferrous)</t>
  </si>
  <si>
    <t>Ideal site assignments, all ferrous</t>
  </si>
  <si>
    <t>Normalisation factors, min ferric  (Leake et al. (1997)</t>
  </si>
  <si>
    <t>Minimum estimate of ferric iron - proportion of cations (columns BM etc)</t>
  </si>
  <si>
    <t>Ideal site assignments, min Fe3+</t>
  </si>
  <si>
    <t>Normalisation factors max ferric (Leake et al. 1997)</t>
  </si>
  <si>
    <t>Maximum estimate of ferric iron - proportion of cations (columns BM etc)</t>
  </si>
  <si>
    <t>Ideal site assignments, max Fe3+</t>
  </si>
  <si>
    <t>Ideal site assignments, average Fe3+</t>
  </si>
  <si>
    <t>lnSiPoly</t>
  </si>
  <si>
    <t xml:space="preserve">Temperature </t>
  </si>
  <si>
    <t>SiO2</t>
  </si>
  <si>
    <t>TiO2</t>
  </si>
  <si>
    <t>Al2O3</t>
  </si>
  <si>
    <t>Cr2O3</t>
  </si>
  <si>
    <t>FeO</t>
  </si>
  <si>
    <t>MgO</t>
  </si>
  <si>
    <t>CaO</t>
  </si>
  <si>
    <t>MnO</t>
  </si>
  <si>
    <t>Na2O</t>
  </si>
  <si>
    <t>K2O</t>
  </si>
  <si>
    <t>F</t>
  </si>
  <si>
    <t>Cl</t>
  </si>
  <si>
    <t>Total</t>
  </si>
  <si>
    <t>Si</t>
  </si>
  <si>
    <t>Al</t>
  </si>
  <si>
    <t>Cr</t>
  </si>
  <si>
    <t>Fe</t>
  </si>
  <si>
    <t>Mn</t>
  </si>
  <si>
    <t>Na</t>
  </si>
  <si>
    <t>K</t>
  </si>
  <si>
    <t>OH</t>
  </si>
  <si>
    <t>Sum cations</t>
  </si>
  <si>
    <t>Al(IV)</t>
  </si>
  <si>
    <t>Ti(IV)</t>
  </si>
  <si>
    <t>Al(VI)</t>
  </si>
  <si>
    <t>8Si</t>
  </si>
  <si>
    <t>16CAT</t>
  </si>
  <si>
    <t>15eNK</t>
  </si>
  <si>
    <t>FACTOR</t>
  </si>
  <si>
    <t>new Sum</t>
  </si>
  <si>
    <t>min Fe3+</t>
  </si>
  <si>
    <t>CHECK</t>
  </si>
  <si>
    <t>8SiAl</t>
  </si>
  <si>
    <t>15eK</t>
  </si>
  <si>
    <t>13eCNK</t>
  </si>
  <si>
    <t>All ferric</t>
  </si>
  <si>
    <t>max Fe3+</t>
  </si>
  <si>
    <t>Check</t>
  </si>
  <si>
    <t>Mg#</t>
  </si>
  <si>
    <t>avg Fe3+</t>
  </si>
  <si>
    <t>Mg-number</t>
  </si>
  <si>
    <t>A-site total</t>
  </si>
  <si>
    <t>Equation</t>
  </si>
  <si>
    <t>1a (TC)</t>
  </si>
  <si>
    <t>3a (TC)</t>
  </si>
  <si>
    <t>4a (TC)</t>
  </si>
  <si>
    <t>6 (TC)</t>
  </si>
  <si>
    <t>FeOT</t>
  </si>
  <si>
    <t>H2O</t>
  </si>
  <si>
    <t>°C</t>
  </si>
  <si>
    <t>Tetrahedral site</t>
  </si>
  <si>
    <t>M1, M2, M3 sites</t>
  </si>
  <si>
    <t>M4 site</t>
  </si>
  <si>
    <t>A site</t>
  </si>
  <si>
    <t>wt% SiO2</t>
  </si>
  <si>
    <t>wt% TiO2</t>
  </si>
  <si>
    <t>wt% FeO</t>
  </si>
  <si>
    <t>wt% MgO</t>
  </si>
  <si>
    <t>wt% CaO</t>
  </si>
  <si>
    <t>wt% K2O</t>
  </si>
  <si>
    <t>wt% Al2O3</t>
  </si>
  <si>
    <t>Eq.</t>
  </si>
  <si>
    <t>Dependent 
variable</t>
  </si>
  <si>
    <t>Parameters used</t>
  </si>
  <si>
    <t>Range of variation</t>
  </si>
  <si>
    <t>Constant</t>
  </si>
  <si>
    <t>Independent variable coefficients</t>
  </si>
  <si>
    <r>
      <t>Multiple R</t>
    </r>
    <r>
      <rPr>
        <b/>
        <i/>
        <vertAlign val="superscript"/>
        <sz val="10"/>
        <rFont val="Arial"/>
        <family val="2"/>
      </rPr>
      <t>2</t>
    </r>
  </si>
  <si>
    <t>SE (wt %)</t>
  </si>
  <si>
    <t>se (wt%)</t>
  </si>
  <si>
    <t>T ºC</t>
  </si>
  <si>
    <t>lnSi</t>
  </si>
  <si>
    <t>Al (vi)</t>
  </si>
  <si>
    <t>Fetot</t>
  </si>
  <si>
    <t>Na (A)</t>
  </si>
  <si>
    <r>
      <t>SiO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(wt %)</t>
    </r>
  </si>
  <si>
    <t>39.6 - 79.2</t>
  </si>
  <si>
    <t>± 25.3058</t>
  </si>
  <si>
    <t>± 0.1298</t>
  </si>
  <si>
    <t>± 4.4996</t>
  </si>
  <si>
    <t>± 4.4616</t>
  </si>
  <si>
    <t>± 0.8076</t>
  </si>
  <si>
    <t>± 9.1473</t>
  </si>
  <si>
    <t>± 7.4745</t>
  </si>
  <si>
    <t>1a</t>
  </si>
  <si>
    <t>TC, lnSiPoly</t>
  </si>
  <si>
    <t>± 10.081906</t>
  </si>
  <si>
    <t>± 0.006377</t>
  </si>
  <si>
    <t>± 0.068722</t>
  </si>
  <si>
    <t>± 0.733753</t>
  </si>
  <si>
    <t>± 3.29872</t>
  </si>
  <si>
    <t>± 0.05323</t>
  </si>
  <si>
    <t>± 2.08029</t>
  </si>
  <si>
    <t>± 0.75886</t>
  </si>
  <si>
    <r>
      <t>lnSiPoly, Fe</t>
    </r>
    <r>
      <rPr>
        <vertAlign val="subscript"/>
        <sz val="10"/>
        <rFont val="Arial"/>
        <family val="2"/>
      </rPr>
      <t>T</t>
    </r>
  </si>
  <si>
    <t>± 3.26419</t>
  </si>
  <si>
    <t>± 0.04955</t>
  </si>
  <si>
    <t>± 0.75707</t>
  </si>
  <si>
    <t>3a</t>
  </si>
  <si>
    <r>
      <t>TC, lnSiPoly, Fe</t>
    </r>
    <r>
      <rPr>
        <vertAlign val="subscript"/>
        <sz val="10"/>
        <rFont val="Arial"/>
        <family val="2"/>
      </rPr>
      <t>T</t>
    </r>
  </si>
  <si>
    <t>± 10.55361</t>
  </si>
  <si>
    <t>± 0.00668</t>
  </si>
  <si>
    <t>± 0.06702</t>
  </si>
  <si>
    <t>± 0.80040</t>
  </si>
  <si>
    <r>
      <t>lnTiO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/>
    </r>
  </si>
  <si>
    <r>
      <t>Si</t>
    </r>
    <r>
      <rPr>
        <vertAlign val="subscript"/>
        <sz val="10"/>
        <rFont val="Arial"/>
        <family val="2"/>
      </rPr>
      <t>T</t>
    </r>
  </si>
  <si>
    <t>-2.8 - 1.8</t>
  </si>
  <si>
    <t>± 1.16484</t>
  </si>
  <si>
    <t>± 0.16672</t>
  </si>
  <si>
    <t>± 0.07654</t>
  </si>
  <si>
    <t>±0.19083</t>
  </si>
  <si>
    <t>± 0.49808</t>
  </si>
  <si>
    <t>± 0.41673</t>
  </si>
  <si>
    <t>4a</t>
  </si>
  <si>
    <t>lnTiO2</t>
  </si>
  <si>
    <t>TC, SiT</t>
  </si>
  <si>
    <t>± 2.0496205</t>
  </si>
  <si>
    <t>± 0.0007518</t>
  </si>
  <si>
    <t>± 0.2177443</t>
  </si>
  <si>
    <t>± 0.0922550</t>
  </si>
  <si>
    <t>± 0.2016726</t>
  </si>
  <si>
    <t>± 0.4995337</t>
  </si>
  <si>
    <t>± 0.4036782</t>
  </si>
  <si>
    <r>
      <t>Si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, Fe</t>
    </r>
    <r>
      <rPr>
        <vertAlign val="subscript"/>
        <sz val="10"/>
        <rFont val="Arial"/>
        <family val="2"/>
      </rPr>
      <t>T</t>
    </r>
  </si>
  <si>
    <t>± 1.41177</t>
  </si>
  <si>
    <t>± 0.19908</t>
  </si>
  <si>
    <t>± 0.08319</t>
  </si>
  <si>
    <t>± 0.31959</t>
  </si>
  <si>
    <t>± 0.36703</t>
  </si>
  <si>
    <t>lnFeO</t>
  </si>
  <si>
    <r>
      <t>TC, Si</t>
    </r>
    <r>
      <rPr>
        <vertAlign val="subscript"/>
        <sz val="10"/>
        <rFont val="Arial"/>
        <family val="2"/>
      </rPr>
      <t>T</t>
    </r>
  </si>
  <si>
    <t>-0.34 - 2.75</t>
  </si>
  <si>
    <t>± 1.385105</t>
  </si>
  <si>
    <t>± 0.000568</t>
  </si>
  <si>
    <t>± 0.153618</t>
  </si>
  <si>
    <t>± 1.1184</t>
  </si>
  <si>
    <t>± 0.1261</t>
  </si>
  <si>
    <t>± 0.0734</t>
  </si>
  <si>
    <t>± 0.4284</t>
  </si>
  <si>
    <t>lnMgO</t>
  </si>
  <si>
    <t>-2.19 - 2.47</t>
  </si>
  <si>
    <t>± 0.93019</t>
  </si>
  <si>
    <t>± 0.14592</t>
  </si>
  <si>
    <t>± 0.27452</t>
  </si>
  <si>
    <t>±0.07951</t>
  </si>
  <si>
    <t>lnCaO</t>
  </si>
  <si>
    <t>± 0.61322</t>
  </si>
  <si>
    <t>± 0.09619</t>
  </si>
  <si>
    <t>± 0.18097</t>
  </si>
  <si>
    <t>± 0.05241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</si>
  <si>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 (wt %)</t>
    </r>
  </si>
  <si>
    <t>&lt;6.0</t>
  </si>
  <si>
    <t>± 5.4085</t>
  </si>
  <si>
    <t>± 0.6548</t>
  </si>
  <si>
    <t>± 0.8317</t>
  </si>
  <si>
    <t>± 0.1607</t>
  </si>
  <si>
    <t>± 0.7102</t>
  </si>
  <si>
    <t>± 1.3617</t>
  </si>
  <si>
    <t>± 0.9997</t>
  </si>
  <si>
    <t>11.4 - 21.5</t>
  </si>
  <si>
    <t>± 4.1070</t>
  </si>
  <si>
    <t>± 0.5681</t>
  </si>
  <si>
    <t>± 0.8313</t>
  </si>
  <si>
    <t>± 1.2277</t>
  </si>
  <si>
    <r>
      <t xml:space="preserve">Normal font indicates p-value &lt; 0.01; bold font indicates the </t>
    </r>
    <r>
      <rPr>
        <i/>
        <sz val="10"/>
        <rFont val="Arial"/>
        <family val="2"/>
      </rPr>
      <t>p-value</t>
    </r>
    <r>
      <rPr>
        <sz val="10"/>
        <rFont val="Arial"/>
      </rPr>
      <t xml:space="preserve"> of the parameter or the constant is 0.01 </t>
    </r>
    <r>
      <rPr>
        <sz val="10"/>
        <rFont val="Calibri"/>
        <family val="2"/>
      </rPr>
      <t>≤</t>
    </r>
    <r>
      <rPr>
        <sz val="10"/>
        <rFont val="Arial"/>
      </rPr>
      <t xml:space="preserve"> </t>
    </r>
    <r>
      <rPr>
        <i/>
        <sz val="10"/>
        <rFont val="Arial"/>
        <family val="2"/>
      </rPr>
      <t>p-value</t>
    </r>
    <r>
      <rPr>
        <sz val="10"/>
        <rFont val="Arial"/>
      </rPr>
      <t xml:space="preserve"> &lt; 0.05</t>
    </r>
  </si>
  <si>
    <t>Name</t>
  </si>
  <si>
    <t>(modified following Zhang et al 2017)</t>
  </si>
  <si>
    <t>Results of multiple linear regressions used for estimating melt major element compositions on the basis of temperature and calcic-amphibole component. N = 130</t>
  </si>
  <si>
    <t>CALCULATED MAJOR ELEMENT MELT COMPOSITIONS</t>
  </si>
  <si>
    <t>PASTE HERE: Ideal major element site assignments, average Fe3+</t>
  </si>
  <si>
    <t>Predicted trace element partition coefficient</t>
  </si>
  <si>
    <t>traces_calc</t>
  </si>
  <si>
    <t>traces_params</t>
  </si>
  <si>
    <t>majors_calc</t>
  </si>
  <si>
    <t>Trace element partition coefficient calculation sheet</t>
  </si>
  <si>
    <t>This template includes calculation of amphibole equilibrium melt major element compositions, and calculation of amphibole-melt partition coefficients</t>
  </si>
  <si>
    <t>Major element AEM calculation sheet</t>
  </si>
  <si>
    <t>IMPORTANT NOTES:</t>
  </si>
  <si>
    <t>The major element method follows that of Zhang et al (2017) but with minor modification to resolve an issue with calculation of "average" ferric-ferrous ratios.</t>
  </si>
  <si>
    <t>majors_params</t>
  </si>
  <si>
    <t>Major element AEM compositions are given in columns HO-IB of the 'majors_calc' sheet.</t>
  </si>
  <si>
    <t>Next paste the stoichiometry values (from columns GL-HL of the 'majors_calc' sheet) into the relevant columns (B-I) of the 'traces_calc' sheet, to calculate partition coefficients</t>
  </si>
  <si>
    <t>Paste raw major element amphibole analyses into 'majors_calc' (columns B-N)</t>
  </si>
  <si>
    <t>Calculate the "average ferric" stoichiometry for the amphibole composition of interest (columns GL-HL, 'majors_calc')</t>
  </si>
  <si>
    <t>Full regression information including statistical results are given in both parameters sheets</t>
  </si>
  <si>
    <t>Fixed parameters used for calculation of trace element partition coefficients (DO NOT MODIFY)</t>
  </si>
  <si>
    <t>Fixed parameters used for calculation of major element AEMs (DO NOT MODIFY)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</si>
</sst>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0.00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sz val="12"/>
      <name val="Calibri"/>
      <scheme val="minor"/>
    </font>
    <font>
      <sz val="12"/>
      <color theme="7"/>
      <name val="Calibri"/>
      <scheme val="minor"/>
    </font>
    <font>
      <sz val="10"/>
      <color theme="1"/>
      <name val="Arial"/>
    </font>
    <font>
      <b/>
      <sz val="12"/>
      <color theme="7"/>
      <name val="Calibri"/>
      <scheme val="minor"/>
    </font>
    <font>
      <b/>
      <sz val="10"/>
      <color rgb="FFFF0000"/>
      <name val="Arial"/>
    </font>
    <font>
      <i/>
      <sz val="12"/>
      <color theme="0" tint="-0.34998626667073579"/>
      <name val="Calibri"/>
      <scheme val="minor"/>
    </font>
    <font>
      <i/>
      <sz val="12"/>
      <name val="Calibri"/>
      <scheme val="minor"/>
    </font>
    <font>
      <i/>
      <sz val="12"/>
      <color theme="7"/>
      <name val="Calibri"/>
      <scheme val="minor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3"/>
      <color theme="1"/>
      <name val="Arial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theme="0" tint="-0.499984740745262"/>
      <name val="Calibri"/>
      <scheme val="minor"/>
    </font>
    <font>
      <i/>
      <sz val="12"/>
      <color theme="1" tint="0.249977111117893"/>
      <name val="Calibri"/>
      <scheme val="minor"/>
    </font>
    <font>
      <i/>
      <sz val="12"/>
      <color theme="0" tint="-0.499984740745262"/>
      <name val="Calibri"/>
      <scheme val="minor"/>
    </font>
    <font>
      <b/>
      <i/>
      <sz val="12"/>
      <color theme="0" tint="-0.499984740745262"/>
      <name val="Calibri"/>
      <scheme val="minor"/>
    </font>
    <font>
      <b/>
      <sz val="12"/>
      <color theme="1" tint="0.249977111117893"/>
      <name val="Calibri"/>
      <scheme val="minor"/>
    </font>
    <font>
      <b/>
      <sz val="12"/>
      <color theme="0" tint="-0.499984740745262"/>
      <name val="Calibri"/>
      <scheme val="minor"/>
    </font>
    <font>
      <sz val="10"/>
      <name val="Arial"/>
    </font>
    <font>
      <b/>
      <sz val="10"/>
      <name val="Arial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55">
    <xf numFmtId="0" fontId="0" fillId="0" borderId="0"/>
    <xf numFmtId="0" fontId="13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3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/>
    <xf numFmtId="0" fontId="10" fillId="0" borderId="0" xfId="0" applyFont="1" applyFill="1"/>
    <xf numFmtId="0" fontId="5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/>
    <xf numFmtId="0" fontId="7" fillId="0" borderId="0" xfId="0" applyFont="1" applyFill="1" applyBorder="1"/>
    <xf numFmtId="0" fontId="16" fillId="0" borderId="0" xfId="0" applyFont="1" applyFill="1"/>
    <xf numFmtId="0" fontId="17" fillId="2" borderId="0" xfId="0" applyFont="1" applyFill="1" applyBorder="1" applyAlignment="1">
      <alignment horizontal="left"/>
    </xf>
    <xf numFmtId="2" fontId="0" fillId="2" borderId="0" xfId="0" applyNumberFormat="1" applyFill="1"/>
    <xf numFmtId="0" fontId="0" fillId="0" borderId="2" xfId="0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3" xfId="0" applyFill="1" applyBorder="1"/>
    <xf numFmtId="0" fontId="3" fillId="0" borderId="2" xfId="0" applyFont="1" applyFill="1" applyBorder="1"/>
    <xf numFmtId="0" fontId="3" fillId="3" borderId="2" xfId="0" applyFont="1" applyFill="1" applyBorder="1"/>
    <xf numFmtId="0" fontId="0" fillId="3" borderId="0" xfId="0" applyFill="1" applyBorder="1"/>
    <xf numFmtId="0" fontId="18" fillId="3" borderId="0" xfId="0" applyFont="1" applyFill="1" applyBorder="1"/>
    <xf numFmtId="0" fontId="18" fillId="3" borderId="3" xfId="0" applyFont="1" applyFill="1" applyBorder="1"/>
    <xf numFmtId="0" fontId="19" fillId="0" borderId="0" xfId="0" applyFont="1" applyFill="1"/>
    <xf numFmtId="0" fontId="3" fillId="4" borderId="0" xfId="0" applyFont="1" applyFill="1"/>
    <xf numFmtId="0" fontId="18" fillId="0" borderId="0" xfId="0" applyFont="1" applyFill="1"/>
    <xf numFmtId="0" fontId="3" fillId="5" borderId="0" xfId="0" applyFont="1" applyFill="1"/>
    <xf numFmtId="0" fontId="0" fillId="5" borderId="0" xfId="0" applyFill="1"/>
    <xf numFmtId="0" fontId="3" fillId="6" borderId="0" xfId="0" applyFont="1" applyFill="1"/>
    <xf numFmtId="0" fontId="0" fillId="6" borderId="0" xfId="0" applyFill="1"/>
    <xf numFmtId="0" fontId="20" fillId="6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5" fillId="2" borderId="0" xfId="0" applyFont="1" applyFill="1"/>
    <xf numFmtId="2" fontId="3" fillId="2" borderId="0" xfId="0" applyNumberFormat="1" applyFont="1" applyFill="1"/>
    <xf numFmtId="0" fontId="3" fillId="0" borderId="3" xfId="0" applyFont="1" applyFill="1" applyBorder="1"/>
    <xf numFmtId="0" fontId="3" fillId="3" borderId="0" xfId="0" applyFont="1" applyFill="1" applyBorder="1"/>
    <xf numFmtId="0" fontId="19" fillId="3" borderId="0" xfId="0" applyFont="1" applyFill="1" applyBorder="1"/>
    <xf numFmtId="0" fontId="19" fillId="3" borderId="3" xfId="0" applyFont="1" applyFill="1" applyBorder="1"/>
    <xf numFmtId="0" fontId="25" fillId="6" borderId="0" xfId="0" applyFont="1" applyFill="1"/>
    <xf numFmtId="0" fontId="3" fillId="6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5" fillId="6" borderId="0" xfId="0" applyFont="1" applyFill="1"/>
    <xf numFmtId="0" fontId="7" fillId="2" borderId="0" xfId="0" applyFont="1" applyFill="1" applyBorder="1"/>
    <xf numFmtId="0" fontId="0" fillId="2" borderId="0" xfId="0" applyFill="1"/>
    <xf numFmtId="165" fontId="11" fillId="0" borderId="2" xfId="0" applyNumberFormat="1" applyFont="1" applyFill="1" applyBorder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2" xfId="0" applyFont="1" applyFill="1" applyBorder="1"/>
    <xf numFmtId="0" fontId="11" fillId="3" borderId="2" xfId="0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11" fillId="3" borderId="3" xfId="0" applyFont="1" applyFill="1" applyBorder="1"/>
    <xf numFmtId="0" fontId="11" fillId="4" borderId="0" xfId="0" applyFont="1" applyFill="1"/>
    <xf numFmtId="0" fontId="11" fillId="5" borderId="0" xfId="0" applyFont="1" applyFill="1"/>
    <xf numFmtId="166" fontId="11" fillId="6" borderId="0" xfId="0" applyNumberFormat="1" applyFont="1" applyFill="1"/>
    <xf numFmtId="166" fontId="22" fillId="6" borderId="0" xfId="0" applyNumberFormat="1" applyFont="1" applyFill="1"/>
    <xf numFmtId="0" fontId="11" fillId="6" borderId="0" xfId="0" applyFont="1" applyFill="1"/>
    <xf numFmtId="166" fontId="10" fillId="6" borderId="0" xfId="0" applyNumberFormat="1" applyFont="1" applyFill="1"/>
    <xf numFmtId="164" fontId="5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0" fillId="3" borderId="2" xfId="0" applyFill="1" applyBorder="1"/>
    <xf numFmtId="0" fontId="0" fillId="4" borderId="0" xfId="0" applyFill="1"/>
    <xf numFmtId="0" fontId="5" fillId="0" borderId="0" xfId="0" applyFont="1"/>
    <xf numFmtId="0" fontId="26" fillId="7" borderId="4" xfId="0" applyFont="1" applyFill="1" applyBorder="1" applyAlignment="1">
      <alignment horizontal="left"/>
    </xf>
    <xf numFmtId="0" fontId="27" fillId="7" borderId="1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/>
    </xf>
    <xf numFmtId="164" fontId="26" fillId="7" borderId="0" xfId="0" applyNumberFormat="1" applyFont="1" applyFill="1" applyBorder="1" applyAlignment="1"/>
    <xf numFmtId="164" fontId="26" fillId="7" borderId="0" xfId="0" applyNumberFormat="1" applyFont="1" applyFill="1" applyBorder="1"/>
    <xf numFmtId="166" fontId="26" fillId="7" borderId="0" xfId="0" applyNumberFormat="1" applyFont="1" applyFill="1" applyBorder="1" applyAlignment="1">
      <alignment horizontal="center"/>
    </xf>
    <xf numFmtId="2" fontId="26" fillId="7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31" fillId="7" borderId="0" xfId="0" applyFont="1" applyFill="1" applyBorder="1" applyAlignment="1">
      <alignment horizontal="right"/>
    </xf>
    <xf numFmtId="164" fontId="31" fillId="7" borderId="0" xfId="0" applyNumberFormat="1" applyFont="1" applyFill="1" applyBorder="1" applyAlignment="1">
      <alignment horizontal="right"/>
    </xf>
    <xf numFmtId="166" fontId="31" fillId="7" borderId="0" xfId="0" applyNumberFormat="1" applyFont="1" applyFill="1" applyBorder="1" applyAlignment="1">
      <alignment horizontal="right"/>
    </xf>
    <xf numFmtId="2" fontId="31" fillId="7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64" fontId="27" fillId="7" borderId="0" xfId="0" applyNumberFormat="1" applyFont="1" applyFill="1" applyBorder="1"/>
    <xf numFmtId="164" fontId="28" fillId="7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2" fontId="5" fillId="0" borderId="0" xfId="0" applyNumberFormat="1" applyFont="1" applyFill="1"/>
    <xf numFmtId="0" fontId="31" fillId="7" borderId="0" xfId="0" applyFont="1" applyFill="1" applyBorder="1" applyAlignment="1">
      <alignment horizontal="center"/>
    </xf>
    <xf numFmtId="0" fontId="26" fillId="7" borderId="0" xfId="0" quotePrefix="1" applyFont="1" applyFill="1" applyBorder="1" applyAlignment="1">
      <alignment horizontal="center"/>
    </xf>
    <xf numFmtId="164" fontId="27" fillId="7" borderId="0" xfId="0" applyNumberFormat="1" applyFont="1" applyFill="1" applyBorder="1" applyAlignment="1"/>
    <xf numFmtId="164" fontId="26" fillId="7" borderId="0" xfId="0" applyNumberFormat="1" applyFont="1" applyFill="1" applyBorder="1" applyAlignment="1">
      <alignment horizontal="right"/>
    </xf>
    <xf numFmtId="0" fontId="31" fillId="7" borderId="0" xfId="0" quotePrefix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2" fontId="31" fillId="7" borderId="4" xfId="0" applyNumberFormat="1" applyFont="1" applyFill="1" applyBorder="1" applyAlignment="1">
      <alignment horizontal="right"/>
    </xf>
    <xf numFmtId="0" fontId="16" fillId="2" borderId="0" xfId="0" applyFont="1" applyFill="1"/>
    <xf numFmtId="0" fontId="26" fillId="7" borderId="0" xfId="0" applyFont="1" applyFill="1" applyBorder="1" applyAlignment="1">
      <alignment horizontal="left"/>
    </xf>
    <xf numFmtId="0" fontId="6" fillId="8" borderId="0" xfId="0" applyFont="1" applyFill="1"/>
    <xf numFmtId="0" fontId="8" fillId="8" borderId="0" xfId="0" applyFont="1" applyFill="1"/>
    <xf numFmtId="164" fontId="8" fillId="8" borderId="0" xfId="0" applyNumberFormat="1" applyFont="1" applyFill="1"/>
    <xf numFmtId="0" fontId="12" fillId="8" borderId="0" xfId="0" applyFont="1" applyFill="1"/>
    <xf numFmtId="0" fontId="28" fillId="7" borderId="5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/>
    </xf>
    <xf numFmtId="0" fontId="27" fillId="7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</cellXfs>
  <cellStyles count="15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  <cellStyle name="Normal 2" xfId="1"/>
    <cellStyle name="Normal 5" xfId="2"/>
    <cellStyle name="Normal 5 2" xfId="139"/>
    <cellStyle name="Normal 5_Sheet1" xfId="14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H10" sqref="H10"/>
    </sheetView>
  </sheetViews>
  <sheetFormatPr defaultColWidth="11.5546875" defaultRowHeight="16.3" x14ac:dyDescent="0.3"/>
  <cols>
    <col min="1" max="1" width="15.109375" customWidth="1"/>
  </cols>
  <sheetData>
    <row r="1" spans="1:2" x14ac:dyDescent="0.3">
      <c r="A1" s="6" t="s">
        <v>227</v>
      </c>
    </row>
    <row r="3" spans="1:2" x14ac:dyDescent="0.3">
      <c r="A3" t="s">
        <v>223</v>
      </c>
      <c r="B3" t="s">
        <v>226</v>
      </c>
    </row>
    <row r="4" spans="1:2" x14ac:dyDescent="0.3">
      <c r="A4" t="s">
        <v>224</v>
      </c>
      <c r="B4" t="s">
        <v>237</v>
      </c>
    </row>
    <row r="5" spans="1:2" x14ac:dyDescent="0.3">
      <c r="A5" t="s">
        <v>225</v>
      </c>
      <c r="B5" t="s">
        <v>228</v>
      </c>
    </row>
    <row r="6" spans="1:2" x14ac:dyDescent="0.3">
      <c r="A6" t="s">
        <v>231</v>
      </c>
      <c r="B6" t="s">
        <v>238</v>
      </c>
    </row>
    <row r="9" spans="1:2" x14ac:dyDescent="0.3">
      <c r="A9" t="s">
        <v>229</v>
      </c>
    </row>
    <row r="10" spans="1:2" x14ac:dyDescent="0.3">
      <c r="A10">
        <v>1</v>
      </c>
      <c r="B10" t="s">
        <v>230</v>
      </c>
    </row>
    <row r="11" spans="1:2" x14ac:dyDescent="0.3">
      <c r="A11">
        <v>2</v>
      </c>
      <c r="B11" t="s">
        <v>234</v>
      </c>
    </row>
    <row r="12" spans="1:2" x14ac:dyDescent="0.3">
      <c r="A12">
        <v>3</v>
      </c>
      <c r="B12" t="s">
        <v>235</v>
      </c>
    </row>
    <row r="13" spans="1:2" x14ac:dyDescent="0.3">
      <c r="A13">
        <v>4</v>
      </c>
      <c r="B13" t="s">
        <v>233</v>
      </c>
    </row>
    <row r="14" spans="1:2" x14ac:dyDescent="0.3">
      <c r="A14">
        <v>5</v>
      </c>
      <c r="B14" t="s">
        <v>232</v>
      </c>
    </row>
    <row r="15" spans="1:2" x14ac:dyDescent="0.3">
      <c r="A15">
        <v>6</v>
      </c>
      <c r="B15" t="s">
        <v>236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xSplit="1" ySplit="4" topLeftCell="B5" activePane="bottomRight" state="frozen"/>
      <selection activeCell="CP16" sqref="CP16:CQ16"/>
      <selection pane="topRight" activeCell="CP16" sqref="CP16:CQ16"/>
      <selection pane="bottomLeft" activeCell="CP16" sqref="CP16:CQ16"/>
      <selection pane="bottomRight" activeCell="B4" sqref="B4:I4"/>
    </sheetView>
  </sheetViews>
  <sheetFormatPr defaultColWidth="10.77734375" defaultRowHeight="16.3" x14ac:dyDescent="0.3"/>
  <cols>
    <col min="1" max="1" width="30" style="10" customWidth="1"/>
    <col min="2" max="9" width="10.77734375" style="1"/>
    <col min="10" max="10" width="3.77734375" style="1" customWidth="1"/>
    <col min="11" max="27" width="10.77734375" style="102"/>
    <col min="28" max="16384" width="10.77734375" style="1"/>
  </cols>
  <sheetData>
    <row r="1" spans="1:34" x14ac:dyDescent="0.3">
      <c r="A1" s="7"/>
      <c r="B1" s="2" t="s">
        <v>221</v>
      </c>
      <c r="K1" s="103" t="s">
        <v>222</v>
      </c>
    </row>
    <row r="2" spans="1:34" s="2" customFormat="1" x14ac:dyDescent="0.3">
      <c r="A2" s="10"/>
      <c r="B2" s="2" t="s">
        <v>35</v>
      </c>
      <c r="C2" s="2" t="s">
        <v>37</v>
      </c>
      <c r="D2" s="2" t="s">
        <v>1</v>
      </c>
      <c r="E2" s="2" t="s">
        <v>3</v>
      </c>
      <c r="F2" s="2" t="s">
        <v>5</v>
      </c>
      <c r="G2" s="2" t="s">
        <v>36</v>
      </c>
      <c r="H2" s="2" t="s">
        <v>2</v>
      </c>
      <c r="I2" s="2" t="s">
        <v>4</v>
      </c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34" s="2" customFormat="1" x14ac:dyDescent="0.3">
      <c r="A3" s="8"/>
      <c r="K3" s="104" t="s">
        <v>17</v>
      </c>
      <c r="L3" s="104" t="s">
        <v>19</v>
      </c>
      <c r="M3" s="104" t="s">
        <v>20</v>
      </c>
      <c r="N3" s="104" t="s">
        <v>21</v>
      </c>
      <c r="O3" s="104" t="s">
        <v>22</v>
      </c>
      <c r="P3" s="104" t="s">
        <v>23</v>
      </c>
      <c r="Q3" s="104" t="s">
        <v>24</v>
      </c>
      <c r="R3" s="104" t="s">
        <v>25</v>
      </c>
      <c r="S3" s="104" t="s">
        <v>26</v>
      </c>
      <c r="T3" s="104" t="s">
        <v>27</v>
      </c>
      <c r="U3" s="104" t="s">
        <v>28</v>
      </c>
      <c r="V3" s="104" t="s">
        <v>29</v>
      </c>
      <c r="W3" s="104" t="s">
        <v>30</v>
      </c>
      <c r="X3" s="104" t="s">
        <v>31</v>
      </c>
      <c r="Y3" s="104" t="s">
        <v>32</v>
      </c>
      <c r="Z3" s="104" t="s">
        <v>33</v>
      </c>
      <c r="AA3" s="104" t="s">
        <v>34</v>
      </c>
      <c r="AB3" s="3"/>
      <c r="AC3" s="3"/>
      <c r="AD3" s="3"/>
      <c r="AE3" s="3"/>
      <c r="AF3" s="3"/>
      <c r="AG3" s="3"/>
      <c r="AH3" s="3"/>
    </row>
    <row r="4" spans="1:34" s="4" customFormat="1" x14ac:dyDescent="0.3">
      <c r="A4" s="11" t="s">
        <v>217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34" s="5" customFormat="1" ht="16" customHeight="1" x14ac:dyDescent="0.3">
      <c r="B5" s="5">
        <v>6.2369370287898596</v>
      </c>
      <c r="C5" s="5">
        <v>0.30267183108469142</v>
      </c>
      <c r="D5" s="5">
        <v>0.27656492363406066</v>
      </c>
      <c r="E5" s="5">
        <v>3.3230978386929722</v>
      </c>
      <c r="F5" s="5">
        <v>1.8290629010041468</v>
      </c>
      <c r="G5" s="5">
        <v>0.60209643145422698</v>
      </c>
      <c r="H5" s="5">
        <v>0.28496216655966577</v>
      </c>
      <c r="I5" s="5">
        <v>0.87750202972468605</v>
      </c>
      <c r="K5" s="102">
        <f>traces_params!$B$3+traces_calc!$B5*traces_params!$C$3+traces_params!$D$3*traces_calc!$C5+traces_params!$E$3*traces_calc!$D5+traces_params!$F$3*traces_calc!$H5+traces_params!$G$3*traces_calc!$I5+traces_params!$H$3*traces_calc!$E5+traces_params!$I$3*traces_calc!$F5+traces_params!$J$3*traces_calc!$G5</f>
        <v>-1.5571387807793229</v>
      </c>
      <c r="L5" s="102">
        <f>traces_params!$B$5+traces_params!$C$5*traces_calc!$B5+traces_params!$D$5*traces_calc!$C5+traces_params!$E$5*traces_calc!$D5+traces_params!$F$5*traces_calc!$H5+traces_params!$G$5*traces_calc!$I5+traces_params!$H$5*traces_calc!$E5+traces_params!$I$5*traces_calc!$F5+traces_params!$J$5*traces_calc!$G5</f>
        <v>-0.95883584820516365</v>
      </c>
      <c r="M5" s="102">
        <f>traces_params!$B$7+traces_params!$C$7*traces_calc!$B5+traces_params!$D$7*traces_calc!$C5+traces_params!$E$7*traces_calc!$D5+traces_params!$F$7*traces_calc!$H5+traces_params!$G$7*traces_calc!$I5+traces_params!$H$7*traces_calc!$E5+traces_params!$I$7*traces_calc!$F5+traces_params!$J$7*traces_calc!$G5</f>
        <v>-3.390841358009749</v>
      </c>
      <c r="N5" s="102">
        <f>traces_params!$B$9+traces_params!$C$9*traces_calc!$B5+traces_params!$D$9*traces_calc!$C5+traces_params!$E$9*traces_calc!$D5+traces_params!$F$9*traces_calc!$H5+traces_params!$G$9*traces_calc!$I5+traces_params!$H$9*traces_calc!$E5+traces_params!$I$9*traces_calc!$F5+traces_params!$J$9*traces_calc!$G5</f>
        <v>-4.8267636563899279</v>
      </c>
      <c r="O5" s="102">
        <f>traces_params!$B$11+traces_params!$C$11*traces_calc!$B5+traces_params!$D$11*traces_calc!$C5+traces_params!$E$11*traces_calc!$D5+traces_params!$F$11*traces_calc!$H5+traces_params!$G$11*traces_calc!$I5+traces_params!$H$11*traces_calc!$E5+traces_params!$I$11*traces_calc!$F5+traces_params!$J$11*traces_calc!$G5</f>
        <v>-1.1977237977695956</v>
      </c>
      <c r="P5" s="102">
        <f>traces_params!$B$13+traces_params!$C$13*traces_calc!$B5+traces_params!$D$13*traces_calc!$C5+traces_params!$E$13*traces_calc!$D5+traces_params!$F$13*traces_calc!$H5+traces_params!$G$13*traces_calc!$I5+traces_params!$H$13*traces_calc!$E5+traces_params!$I$13*traces_calc!$F5+traces_params!$J$13*traces_calc!$G5</f>
        <v>-1.1860220322205564</v>
      </c>
      <c r="Q5" s="102">
        <f>traces_params!$B$15+traces_params!$C$15*traces_calc!$B5+traces_params!$D$15*traces_calc!$C5+traces_params!$E$15*traces_calc!$D5+traces_params!$F$15*traces_calc!$H5+traces_params!$G$15*traces_calc!$I5+traces_params!$H$15*traces_calc!$E5+traces_params!$I$15*traces_calc!$F5+traces_params!$J$15*traces_calc!$G5</f>
        <v>-1.7097072185199593</v>
      </c>
      <c r="R5" s="102">
        <f>traces_params!$B$17+traces_params!$C$17*traces_calc!$B5+traces_params!$D$17*traces_calc!$C5+traces_params!$E$17*traces_calc!$D5+traces_params!$F$17*traces_calc!$H5+traces_params!$G$17*traces_calc!$I5+traces_params!$H$17*traces_calc!$E5+traces_params!$I$17*traces_calc!$F5+traces_params!$J$17*traces_calc!$G5</f>
        <v>-0.90448605442648633</v>
      </c>
      <c r="S5" s="102">
        <f>traces_params!$B$19+traces_params!$C$19*traces_calc!$B5+traces_params!$D$19*traces_calc!$C5+traces_params!$E$19*traces_calc!$D5+traces_params!$F$19*traces_calc!$H5+traces_params!$G$19*traces_calc!$I5+traces_params!$H$19*traces_calc!$E5+traces_params!$I$19*traces_calc!$F5+traces_params!$J$19*traces_calc!$G5</f>
        <v>-0.17117988406950246</v>
      </c>
      <c r="T5" s="102">
        <f>traces_params!$B$21+traces_params!$C$21*traces_calc!$B5+traces_params!$D$21*traces_calc!$C5+traces_params!$E$21*traces_calc!$D5+traces_params!$F$21*traces_calc!$H5+traces_params!$G$21*traces_calc!$I5+traces_params!$H$21*traces_calc!$E5+traces_params!$I$21*traces_calc!$F5+traces_params!$J$21*traces_calc!$G5</f>
        <v>8.2613834537283104E-2</v>
      </c>
      <c r="U5" s="102">
        <f>traces_params!$B$23+traces_params!$C$23*traces_calc!$B5+traces_params!$D$23*traces_calc!$C5+traces_params!$E$23*traces_calc!$D5+traces_params!$F$23*traces_calc!$H5+traces_params!$G$23*traces_calc!$I5+traces_params!$H$23*traces_calc!$E5+traces_params!$I$23*traces_calc!$F5+traces_params!$J$23*traces_calc!$G5</f>
        <v>0.12364889566057169</v>
      </c>
      <c r="V5" s="102">
        <f>traces_params!$B$25+traces_params!$C$25*traces_calc!$B5+traces_params!$D$25*traces_calc!$C5+traces_params!$E$25*traces_calc!$D5+traces_params!$F$25*traces_calc!$H5+traces_params!$G$25*traces_calc!$I5+traces_params!$H$25*traces_calc!$E5+traces_params!$I$25*traces_calc!$F5+traces_params!$J$25*traces_calc!$G5</f>
        <v>0.62648160450639256</v>
      </c>
      <c r="W5" s="102">
        <f>traces_params!$B$27+traces_params!$C$27*traces_calc!$B5+traces_params!$D$27*traces_calc!$C5+traces_params!$E$27*traces_calc!$D5+traces_params!$F$27*traces_calc!$H5+traces_params!$G$27*traces_calc!$I5+traces_params!$H$27*traces_calc!$E5+traces_params!$I$27*traces_calc!$F5+traces_params!$J$27*traces_calc!$G5</f>
        <v>0.48620434936168966</v>
      </c>
      <c r="X5" s="102">
        <f>traces_params!$B$29+traces_params!$C$29*traces_calc!$B5+traces_params!$D$29*traces_calc!$C5+traces_params!$E$29*traces_calc!$D5+traces_params!$F$29*traces_calc!$H5+traces_params!$G$29*traces_calc!$I5+traces_params!$H$29*traces_calc!$E5+traces_params!$I$29*traces_calc!$F5+traces_params!$J$29*traces_calc!$G5</f>
        <v>-6.6338487802968693E-2</v>
      </c>
      <c r="Y5" s="102">
        <f>traces_params!$B$31+traces_params!$C$31*traces_calc!$B5+traces_params!$D$31*traces_calc!$C5+traces_params!$E$31*traces_calc!$D5+traces_params!$F$31*traces_calc!$H5+traces_params!$G$31*traces_calc!$I5+traces_params!$H$31*traces_calc!$E5+traces_params!$I$31*traces_calc!$F5+traces_params!$J$31*traces_calc!$G5</f>
        <v>0.10439824996363789</v>
      </c>
      <c r="Z5" s="102">
        <f>traces_params!$B$33+traces_params!$C$33*traces_calc!$B5+traces_params!$D$33*traces_calc!$C5+traces_params!$E$33*traces_calc!$D5+traces_params!$F$33*traces_calc!$H5+traces_params!$G$33*traces_calc!$I5+traces_params!$H$33*traces_calc!$E5+traces_params!$I$33*traces_calc!$F5+traces_params!$J$33*traces_calc!$G5</f>
        <v>-0.21952159418198125</v>
      </c>
      <c r="AA5" s="102">
        <f>traces_params!$B$35+traces_params!$C$35*traces_calc!$B5+traces_params!$D$35*traces_calc!$C5+traces_params!$E$35*traces_calc!$D5+traces_params!$F$35*traces_calc!$H5+traces_params!$G$35*traces_calc!$I5+traces_params!$H$35*traces_calc!$E5+traces_params!$I$35*traces_calc!$F5+traces_params!$J$35*traces_calc!$G5</f>
        <v>-1.2843281246842864E-2</v>
      </c>
    </row>
    <row r="6" spans="1:34" s="5" customFormat="1" x14ac:dyDescent="0.3">
      <c r="B6" s="5">
        <v>6.1372358499765198</v>
      </c>
      <c r="C6" s="5">
        <v>0.32789924279414695</v>
      </c>
      <c r="D6" s="5">
        <v>0.24759368619144784</v>
      </c>
      <c r="E6" s="5">
        <v>3.0338755418841465</v>
      </c>
      <c r="F6" s="5">
        <v>1.8758788507397834</v>
      </c>
      <c r="G6" s="5">
        <v>0.66884036485842613</v>
      </c>
      <c r="H6" s="5">
        <v>0.30758547714253837</v>
      </c>
      <c r="I6" s="5">
        <v>1.1111224409041094</v>
      </c>
      <c r="K6" s="102">
        <f>traces_params!$B$3+traces_calc!$B6*traces_params!$C$3+traces_params!$D$3*traces_calc!$C6+traces_params!$E$3*traces_calc!$D6+traces_params!$F$3*traces_calc!$H6+traces_params!$G$3*traces_calc!$I6+traces_params!$H$3*traces_calc!$E6+traces_params!$I$3*traces_calc!$F6+traces_params!$J$3*traces_calc!$G6</f>
        <v>-1.5097291597813771</v>
      </c>
      <c r="L6" s="102">
        <f>traces_params!$B$5+traces_params!$C$5*traces_calc!$B6+traces_params!$D$5*traces_calc!$C6+traces_params!$E$5*traces_calc!$D6+traces_params!$F$5*traces_calc!$H6+traces_params!$G$5*traces_calc!$I6+traces_params!$H$5*traces_calc!$E6+traces_params!$I$5*traces_calc!$F6+traces_params!$J$5*traces_calc!$G6</f>
        <v>-0.79844060378296189</v>
      </c>
      <c r="M6" s="102">
        <f>traces_params!$B$7+traces_params!$C$7*traces_calc!$B6+traces_params!$D$7*traces_calc!$C6+traces_params!$E$7*traces_calc!$D6+traces_params!$F$7*traces_calc!$H6+traces_params!$G$7*traces_calc!$I6+traces_params!$H$7*traces_calc!$E6+traces_params!$I$7*traces_calc!$F6+traces_params!$J$7*traces_calc!$G6</f>
        <v>-3.42494828958454</v>
      </c>
      <c r="N6" s="102">
        <f>traces_params!$B$9+traces_params!$C$9*traces_calc!$B6+traces_params!$D$9*traces_calc!$C6+traces_params!$E$9*traces_calc!$D6+traces_params!$F$9*traces_calc!$H6+traces_params!$G$9*traces_calc!$I6+traces_params!$H$9*traces_calc!$E6+traces_params!$I$9*traces_calc!$F6+traces_params!$J$9*traces_calc!$G6</f>
        <v>-5.0010122349984725</v>
      </c>
      <c r="O6" s="102">
        <f>traces_params!$B$11+traces_params!$C$11*traces_calc!$B6+traces_params!$D$11*traces_calc!$C6+traces_params!$E$11*traces_calc!$D6+traces_params!$F$11*traces_calc!$H6+traces_params!$G$11*traces_calc!$I6+traces_params!$H$11*traces_calc!$E6+traces_params!$I$11*traces_calc!$F6+traces_params!$J$11*traces_calc!$G6</f>
        <v>-1.0470328040068115</v>
      </c>
      <c r="P6" s="102">
        <f>traces_params!$B$13+traces_params!$C$13*traces_calc!$B6+traces_params!$D$13*traces_calc!$C6+traces_params!$E$13*traces_calc!$D6+traces_params!$F$13*traces_calc!$H6+traces_params!$G$13*traces_calc!$I6+traces_params!$H$13*traces_calc!$E6+traces_params!$I$13*traces_calc!$F6+traces_params!$J$13*traces_calc!$G6</f>
        <v>-1.1884011326047661</v>
      </c>
      <c r="Q6" s="102">
        <f>traces_params!$B$15+traces_params!$C$15*traces_calc!$B6+traces_params!$D$15*traces_calc!$C6+traces_params!$E$15*traces_calc!$D6+traces_params!$F$15*traces_calc!$H6+traces_params!$G$15*traces_calc!$I6+traces_params!$H$15*traces_calc!$E6+traces_params!$I$15*traces_calc!$F6+traces_params!$J$15*traces_calc!$G6</f>
        <v>-1.6853537977466888</v>
      </c>
      <c r="R6" s="102">
        <f>traces_params!$B$17+traces_params!$C$17*traces_calc!$B6+traces_params!$D$17*traces_calc!$C6+traces_params!$E$17*traces_calc!$D6+traces_params!$F$17*traces_calc!$H6+traces_params!$G$17*traces_calc!$I6+traces_params!$H$17*traces_calc!$E6+traces_params!$I$17*traces_calc!$F6+traces_params!$J$17*traces_calc!$G6</f>
        <v>-0.89319560272458043</v>
      </c>
      <c r="S6" s="102">
        <f>traces_params!$B$19+traces_params!$C$19*traces_calc!$B6+traces_params!$D$19*traces_calc!$C6+traces_params!$E$19*traces_calc!$D6+traces_params!$F$19*traces_calc!$H6+traces_params!$G$19*traces_calc!$I6+traces_params!$H$19*traces_calc!$E6+traces_params!$I$19*traces_calc!$F6+traces_params!$J$19*traces_calc!$G6</f>
        <v>-0.16972111955241687</v>
      </c>
      <c r="T6" s="102">
        <f>traces_params!$B$21+traces_params!$C$21*traces_calc!$B6+traces_params!$D$21*traces_calc!$C6+traces_params!$E$21*traces_calc!$D6+traces_params!$F$21*traces_calc!$H6+traces_params!$G$21*traces_calc!$I6+traces_params!$H$21*traces_calc!$E6+traces_params!$I$21*traces_calc!$F6+traces_params!$J$21*traces_calc!$G6</f>
        <v>0.24120071294375678</v>
      </c>
      <c r="U6" s="102">
        <f>traces_params!$B$23+traces_params!$C$23*traces_calc!$B6+traces_params!$D$23*traces_calc!$C6+traces_params!$E$23*traces_calc!$D6+traces_params!$F$23*traces_calc!$H6+traces_params!$G$23*traces_calc!$I6+traces_params!$H$23*traces_calc!$E6+traces_params!$I$23*traces_calc!$F6+traces_params!$J$23*traces_calc!$G6</f>
        <v>-7.1509624234309399E-3</v>
      </c>
      <c r="V6" s="102">
        <f>traces_params!$B$25+traces_params!$C$25*traces_calc!$B6+traces_params!$D$25*traces_calc!$C6+traces_params!$E$25*traces_calc!$D6+traces_params!$F$25*traces_calc!$H6+traces_params!$G$25*traces_calc!$I6+traces_params!$H$25*traces_calc!$E6+traces_params!$I$25*traces_calc!$F6+traces_params!$J$25*traces_calc!$G6</f>
        <v>0.66449033739179786</v>
      </c>
      <c r="W6" s="102">
        <f>traces_params!$B$27+traces_params!$C$27*traces_calc!$B6+traces_params!$D$27*traces_calc!$C6+traces_params!$E$27*traces_calc!$D6+traces_params!$F$27*traces_calc!$H6+traces_params!$G$27*traces_calc!$I6+traces_params!$H$27*traces_calc!$E6+traces_params!$I$27*traces_calc!$F6+traces_params!$J$27*traces_calc!$G6</f>
        <v>0.40182300903737911</v>
      </c>
      <c r="X6" s="102">
        <f>traces_params!$B$29+traces_params!$C$29*traces_calc!$B6+traces_params!$D$29*traces_calc!$C6+traces_params!$E$29*traces_calc!$D6+traces_params!$F$29*traces_calc!$H6+traces_params!$G$29*traces_calc!$I6+traces_params!$H$29*traces_calc!$E6+traces_params!$I$29*traces_calc!$F6+traces_params!$J$29*traces_calc!$G6</f>
        <v>-0.17834117805671834</v>
      </c>
      <c r="Y6" s="102">
        <f>traces_params!$B$31+traces_params!$C$31*traces_calc!$B6+traces_params!$D$31*traces_calc!$C6+traces_params!$E$31*traces_calc!$D6+traces_params!$F$31*traces_calc!$H6+traces_params!$G$31*traces_calc!$I6+traces_params!$H$31*traces_calc!$E6+traces_params!$I$31*traces_calc!$F6+traces_params!$J$31*traces_calc!$G6</f>
        <v>6.3407322421945467E-2</v>
      </c>
      <c r="Z6" s="102">
        <f>traces_params!$B$33+traces_params!$C$33*traces_calc!$B6+traces_params!$D$33*traces_calc!$C6+traces_params!$E$33*traces_calc!$D6+traces_params!$F$33*traces_calc!$H6+traces_params!$G$33*traces_calc!$I6+traces_params!$H$33*traces_calc!$E6+traces_params!$I$33*traces_calc!$F6+traces_params!$J$33*traces_calc!$G6</f>
        <v>-0.28595876032478662</v>
      </c>
      <c r="AA6" s="102">
        <f>traces_params!$B$35+traces_params!$C$35*traces_calc!$B6+traces_params!$D$35*traces_calc!$C6+traces_params!$E$35*traces_calc!$D6+traces_params!$F$35*traces_calc!$H6+traces_params!$G$35*traces_calc!$I6+traces_params!$H$35*traces_calc!$E6+traces_params!$I$35*traces_calc!$F6+traces_params!$J$35*traces_calc!$G6</f>
        <v>2.0318519193613938E-2</v>
      </c>
    </row>
    <row r="7" spans="1:34" x14ac:dyDescent="0.3">
      <c r="A7" s="1"/>
    </row>
    <row r="8" spans="1:34" x14ac:dyDescent="0.3">
      <c r="A8" s="1"/>
    </row>
    <row r="9" spans="1:34" x14ac:dyDescent="0.3">
      <c r="A9" s="1"/>
    </row>
    <row r="10" spans="1:34" x14ac:dyDescent="0.3">
      <c r="A10" s="1"/>
    </row>
    <row r="11" spans="1:34" x14ac:dyDescent="0.3">
      <c r="A11" s="1"/>
    </row>
    <row r="12" spans="1:34" x14ac:dyDescent="0.3">
      <c r="A12" s="1"/>
    </row>
    <row r="13" spans="1:34" x14ac:dyDescent="0.3">
      <c r="A13" s="1"/>
    </row>
    <row r="14" spans="1:34" x14ac:dyDescent="0.3">
      <c r="A14" s="1"/>
    </row>
    <row r="15" spans="1:34" x14ac:dyDescent="0.3">
      <c r="A15" s="1"/>
    </row>
    <row r="16" spans="1:3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workbookViewId="0">
      <pane ySplit="856" topLeftCell="A7" activePane="bottomLeft"/>
      <selection activeCell="CP16" sqref="CP16:CQ16"/>
      <selection pane="bottomLeft" activeCell="C12" sqref="C12"/>
    </sheetView>
  </sheetViews>
  <sheetFormatPr defaultColWidth="11.5546875" defaultRowHeight="16.3" x14ac:dyDescent="0.3"/>
  <cols>
    <col min="1" max="1" width="10.77734375" style="6"/>
  </cols>
  <sheetData>
    <row r="2" spans="1:12" s="6" customFormat="1" x14ac:dyDescent="0.3"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</row>
    <row r="3" spans="1:12" x14ac:dyDescent="0.3">
      <c r="A3" s="6" t="s">
        <v>17</v>
      </c>
      <c r="B3">
        <v>9.1867999999999999</v>
      </c>
      <c r="C3">
        <v>-1.3897999999999999</v>
      </c>
      <c r="E3">
        <v>-3.6797</v>
      </c>
      <c r="F3">
        <v>-1.5769</v>
      </c>
      <c r="G3">
        <v>-0.69379999999999997</v>
      </c>
      <c r="K3">
        <v>0.2858</v>
      </c>
      <c r="L3">
        <v>0.85</v>
      </c>
    </row>
    <row r="4" spans="1:12" x14ac:dyDescent="0.3">
      <c r="A4" s="6" t="s">
        <v>18</v>
      </c>
      <c r="B4">
        <v>2.4481000000000002</v>
      </c>
      <c r="C4">
        <v>0.39889999999999998</v>
      </c>
      <c r="E4">
        <v>0.629</v>
      </c>
      <c r="F4">
        <v>0.47639999999999999</v>
      </c>
      <c r="G4">
        <v>0.16</v>
      </c>
    </row>
    <row r="5" spans="1:12" x14ac:dyDescent="0.3">
      <c r="A5" s="6" t="s">
        <v>19</v>
      </c>
      <c r="B5">
        <v>3.4158499999999998</v>
      </c>
      <c r="C5">
        <v>-0.75280999999999998</v>
      </c>
      <c r="G5">
        <v>0.36529</v>
      </c>
      <c r="K5">
        <v>0.19139999999999999</v>
      </c>
      <c r="L5">
        <v>0.64</v>
      </c>
    </row>
    <row r="6" spans="1:12" x14ac:dyDescent="0.3">
      <c r="A6" s="6" t="s">
        <v>18</v>
      </c>
      <c r="B6">
        <v>0.84460999999999997</v>
      </c>
      <c r="C6">
        <v>0.13988</v>
      </c>
      <c r="G6">
        <v>5.7509999999999999E-2</v>
      </c>
    </row>
    <row r="7" spans="1:12" x14ac:dyDescent="0.3">
      <c r="A7" s="6" t="s">
        <v>20</v>
      </c>
      <c r="B7">
        <v>-4.2533000000000003</v>
      </c>
      <c r="D7">
        <v>2.7155</v>
      </c>
      <c r="E7">
        <v>1.69</v>
      </c>
      <c r="F7">
        <v>0.70650000000000002</v>
      </c>
      <c r="J7">
        <v>-1.0432999999999999</v>
      </c>
      <c r="K7">
        <v>0.2263</v>
      </c>
      <c r="L7">
        <v>0.56999999999999995</v>
      </c>
    </row>
    <row r="8" spans="1:12" x14ac:dyDescent="0.3">
      <c r="A8" s="6" t="s">
        <v>18</v>
      </c>
      <c r="B8">
        <v>0.32419999999999999</v>
      </c>
      <c r="D8">
        <v>0.36399999999999999</v>
      </c>
      <c r="E8">
        <v>0.433</v>
      </c>
      <c r="F8">
        <v>0.27329999999999999</v>
      </c>
      <c r="J8">
        <v>0.39500000000000002</v>
      </c>
    </row>
    <row r="9" spans="1:12" x14ac:dyDescent="0.3">
      <c r="A9" s="6" t="s">
        <v>21</v>
      </c>
      <c r="B9">
        <v>5.2961999999999998</v>
      </c>
      <c r="E9">
        <v>-2.3538000000000001</v>
      </c>
      <c r="I9">
        <v>-5.1786000000000003</v>
      </c>
      <c r="K9">
        <v>0.55740000000000001</v>
      </c>
      <c r="L9">
        <v>0.53</v>
      </c>
    </row>
    <row r="10" spans="1:12" x14ac:dyDescent="0.3">
      <c r="A10" s="6" t="s">
        <v>18</v>
      </c>
      <c r="B10">
        <v>1.6004</v>
      </c>
      <c r="E10">
        <v>0.77929999999999999</v>
      </c>
      <c r="I10">
        <v>0.8921</v>
      </c>
    </row>
    <row r="11" spans="1:12" x14ac:dyDescent="0.3">
      <c r="A11" s="6" t="s">
        <v>22</v>
      </c>
      <c r="B11">
        <v>-22.27</v>
      </c>
      <c r="C11">
        <v>2.3241000000000001</v>
      </c>
      <c r="E11">
        <v>3.7633000000000001</v>
      </c>
      <c r="F11">
        <v>2.9786000000000001</v>
      </c>
      <c r="G11">
        <v>1.44</v>
      </c>
      <c r="I11">
        <v>1.8718999999999999</v>
      </c>
      <c r="K11">
        <v>0.4461</v>
      </c>
      <c r="L11">
        <v>0.6</v>
      </c>
    </row>
    <row r="12" spans="1:12" x14ac:dyDescent="0.3">
      <c r="A12" s="6" t="s">
        <v>18</v>
      </c>
      <c r="B12">
        <v>3.8207</v>
      </c>
      <c r="C12">
        <v>0.43640000000000001</v>
      </c>
      <c r="E12">
        <v>0.89439999999999997</v>
      </c>
      <c r="F12">
        <v>0.53310000000000002</v>
      </c>
      <c r="G12">
        <v>0.1552</v>
      </c>
      <c r="I12">
        <v>0.751</v>
      </c>
    </row>
    <row r="13" spans="1:12" x14ac:dyDescent="0.3">
      <c r="A13" s="6" t="s">
        <v>23</v>
      </c>
      <c r="B13">
        <v>-25.616700000000002</v>
      </c>
      <c r="C13">
        <v>2.6183000000000001</v>
      </c>
      <c r="D13">
        <v>2.6867000000000001</v>
      </c>
      <c r="E13">
        <v>4.8380000000000001</v>
      </c>
      <c r="F13">
        <v>2.6591</v>
      </c>
      <c r="G13">
        <v>0.65359999999999996</v>
      </c>
      <c r="I13">
        <v>2.5247999999999999</v>
      </c>
      <c r="K13">
        <v>0.37990000000000002</v>
      </c>
      <c r="L13">
        <v>0.42</v>
      </c>
    </row>
    <row r="14" spans="1:12" x14ac:dyDescent="0.3">
      <c r="A14" s="6" t="s">
        <v>18</v>
      </c>
      <c r="B14">
        <v>6.2797000000000001</v>
      </c>
      <c r="C14">
        <v>0.64600000000000002</v>
      </c>
      <c r="D14">
        <v>0.87470000000000003</v>
      </c>
      <c r="E14">
        <v>1.4983</v>
      </c>
      <c r="F14">
        <v>0.71240000000000003</v>
      </c>
      <c r="G14">
        <v>0.14960000000000001</v>
      </c>
      <c r="I14">
        <v>0.92700000000000005</v>
      </c>
    </row>
    <row r="15" spans="1:12" x14ac:dyDescent="0.3">
      <c r="A15" s="6" t="s">
        <v>24</v>
      </c>
      <c r="B15">
        <v>-20.049299999999999</v>
      </c>
      <c r="C15">
        <v>2.0731999999999999</v>
      </c>
      <c r="E15">
        <v>2.5497999999999998</v>
      </c>
      <c r="F15">
        <v>1.5317000000000001</v>
      </c>
      <c r="G15">
        <v>1.117</v>
      </c>
      <c r="I15">
        <v>2.2770999999999999</v>
      </c>
      <c r="J15">
        <v>-1.4576</v>
      </c>
      <c r="K15">
        <v>0.3377</v>
      </c>
      <c r="L15">
        <v>0.69</v>
      </c>
    </row>
    <row r="16" spans="1:12" x14ac:dyDescent="0.3">
      <c r="A16" s="6" t="s">
        <v>18</v>
      </c>
      <c r="B16">
        <v>2.7427000000000001</v>
      </c>
      <c r="C16">
        <v>0.31509999999999999</v>
      </c>
      <c r="E16">
        <v>0.61070000000000002</v>
      </c>
      <c r="F16">
        <v>0.27939999999999998</v>
      </c>
      <c r="G16">
        <v>0.13250000000000001</v>
      </c>
      <c r="I16">
        <v>0.50980000000000003</v>
      </c>
      <c r="J16">
        <v>0.46839999999999998</v>
      </c>
    </row>
    <row r="17" spans="1:12" x14ac:dyDescent="0.3">
      <c r="A17" s="6" t="s">
        <v>25</v>
      </c>
      <c r="B17">
        <v>-21.107800000000001</v>
      </c>
      <c r="C17">
        <v>2.4748999999999999</v>
      </c>
      <c r="E17">
        <v>2.4719000000000002</v>
      </c>
      <c r="F17">
        <v>1.5722</v>
      </c>
      <c r="G17">
        <v>0.95199999999999996</v>
      </c>
      <c r="I17">
        <v>1.5310999999999999</v>
      </c>
      <c r="K17">
        <v>0.31580000000000003</v>
      </c>
      <c r="L17">
        <v>0.82</v>
      </c>
    </row>
    <row r="18" spans="1:12" x14ac:dyDescent="0.3">
      <c r="A18" s="6" t="s">
        <v>18</v>
      </c>
      <c r="B18">
        <v>2.7469999999999999</v>
      </c>
      <c r="C18">
        <v>0.31219999999999998</v>
      </c>
      <c r="E18">
        <v>0.70009999999999994</v>
      </c>
      <c r="F18">
        <v>0.28989999999999999</v>
      </c>
      <c r="G18">
        <v>0.14510000000000001</v>
      </c>
      <c r="I18">
        <v>0.49780000000000002</v>
      </c>
    </row>
    <row r="19" spans="1:12" x14ac:dyDescent="0.3">
      <c r="A19" s="6" t="s">
        <v>26</v>
      </c>
      <c r="B19">
        <v>-20.308199999999999</v>
      </c>
      <c r="C19">
        <v>2.5162</v>
      </c>
      <c r="E19">
        <v>2.5863</v>
      </c>
      <c r="F19">
        <v>1.9459</v>
      </c>
      <c r="G19">
        <v>0.95660000000000001</v>
      </c>
      <c r="I19">
        <v>1.2763</v>
      </c>
      <c r="K19">
        <v>0.36149999999999999</v>
      </c>
      <c r="L19">
        <v>0.71</v>
      </c>
    </row>
    <row r="20" spans="1:12" x14ac:dyDescent="0.3">
      <c r="A20" s="6" t="s">
        <v>18</v>
      </c>
      <c r="B20">
        <v>2.8690000000000002</v>
      </c>
      <c r="C20">
        <v>0.3125</v>
      </c>
      <c r="E20">
        <v>0.76280000000000003</v>
      </c>
      <c r="F20">
        <v>0.29110000000000003</v>
      </c>
      <c r="G20">
        <v>0.12640000000000001</v>
      </c>
      <c r="I20">
        <v>0.5252</v>
      </c>
    </row>
    <row r="21" spans="1:12" x14ac:dyDescent="0.3">
      <c r="A21" s="6" t="s">
        <v>27</v>
      </c>
      <c r="B21">
        <v>-11.362500000000001</v>
      </c>
      <c r="C21">
        <v>1.6020000000000001</v>
      </c>
      <c r="F21">
        <v>1.2898000000000001</v>
      </c>
      <c r="G21">
        <v>1.2376</v>
      </c>
      <c r="K21">
        <v>0.42570000000000002</v>
      </c>
      <c r="L21">
        <v>0.6</v>
      </c>
    </row>
    <row r="22" spans="1:12" x14ac:dyDescent="0.3">
      <c r="A22" s="6" t="s">
        <v>18</v>
      </c>
      <c r="B22">
        <v>0.61399999999999999</v>
      </c>
      <c r="C22">
        <v>0.1046</v>
      </c>
      <c r="F22">
        <v>0.28999999999999998</v>
      </c>
      <c r="G22">
        <v>0.12180000000000001</v>
      </c>
    </row>
    <row r="23" spans="1:12" x14ac:dyDescent="0.3">
      <c r="A23" s="6" t="s">
        <v>28</v>
      </c>
      <c r="B23">
        <v>-35.660400000000003</v>
      </c>
      <c r="C23">
        <v>4.1452</v>
      </c>
      <c r="D23">
        <v>2.6886000000000001</v>
      </c>
      <c r="E23">
        <v>6.4057000000000004</v>
      </c>
      <c r="F23">
        <v>3.8508</v>
      </c>
      <c r="G23">
        <v>0.72550000000000003</v>
      </c>
      <c r="I23">
        <v>3.0678999999999998</v>
      </c>
      <c r="K23">
        <v>0.37240000000000001</v>
      </c>
      <c r="L23">
        <v>0.77</v>
      </c>
    </row>
    <row r="24" spans="1:12" x14ac:dyDescent="0.3">
      <c r="A24" s="6" t="s">
        <v>18</v>
      </c>
      <c r="B24">
        <v>7.2874999999999996</v>
      </c>
      <c r="C24">
        <v>0.73540000000000005</v>
      </c>
      <c r="D24">
        <v>1.0276000000000001</v>
      </c>
      <c r="E24">
        <v>1.6218999999999999</v>
      </c>
      <c r="F24">
        <v>0.75960000000000005</v>
      </c>
      <c r="G24">
        <v>0.15459999999999999</v>
      </c>
      <c r="I24">
        <v>1.1127</v>
      </c>
    </row>
    <row r="25" spans="1:12" x14ac:dyDescent="0.3">
      <c r="A25" s="6" t="s">
        <v>29</v>
      </c>
      <c r="B25">
        <v>-19.058299999999999</v>
      </c>
      <c r="C25">
        <v>2.4417</v>
      </c>
      <c r="E25">
        <v>1.9785999999999999</v>
      </c>
      <c r="F25">
        <v>1.8765000000000001</v>
      </c>
      <c r="G25">
        <v>0.99429999999999996</v>
      </c>
      <c r="I25">
        <v>1.3676999999999999</v>
      </c>
      <c r="K25">
        <v>0.40339999999999998</v>
      </c>
      <c r="L25">
        <v>0.66</v>
      </c>
    </row>
    <row r="26" spans="1:12" x14ac:dyDescent="0.3">
      <c r="A26" s="6" t="s">
        <v>18</v>
      </c>
      <c r="B26">
        <v>3.5099</v>
      </c>
      <c r="C26">
        <v>0.3715</v>
      </c>
      <c r="E26">
        <v>0.8105</v>
      </c>
      <c r="F26">
        <v>0.3785</v>
      </c>
      <c r="G26">
        <v>0.16070000000000001</v>
      </c>
      <c r="I26">
        <v>0.65169999999999995</v>
      </c>
    </row>
    <row r="27" spans="1:12" x14ac:dyDescent="0.3">
      <c r="A27" s="6" t="s">
        <v>30</v>
      </c>
      <c r="B27">
        <v>-16.0687</v>
      </c>
      <c r="C27">
        <v>2.3858000000000001</v>
      </c>
      <c r="E27">
        <v>1.8254999999999999</v>
      </c>
      <c r="F27">
        <v>1.9741</v>
      </c>
      <c r="G27">
        <v>0.69220000000000004</v>
      </c>
      <c r="K27">
        <v>0.33260000000000001</v>
      </c>
      <c r="L27">
        <v>0.79</v>
      </c>
    </row>
    <row r="28" spans="1:12" x14ac:dyDescent="0.3">
      <c r="A28" s="6" t="s">
        <v>18</v>
      </c>
      <c r="B28">
        <v>1.1469</v>
      </c>
      <c r="C28">
        <v>0.1721</v>
      </c>
      <c r="E28">
        <v>0.46629999999999999</v>
      </c>
      <c r="F28">
        <v>0.25590000000000002</v>
      </c>
      <c r="G28">
        <v>0.1077</v>
      </c>
    </row>
    <row r="29" spans="1:12" x14ac:dyDescent="0.3">
      <c r="A29" s="6" t="s">
        <v>31</v>
      </c>
      <c r="B29">
        <v>-20.4148</v>
      </c>
      <c r="C29">
        <v>2.3654000000000002</v>
      </c>
      <c r="E29">
        <v>2.484</v>
      </c>
      <c r="F29">
        <v>3.2601</v>
      </c>
      <c r="G29">
        <v>1.2922</v>
      </c>
      <c r="I29">
        <v>3.1762000000000001</v>
      </c>
      <c r="J29">
        <v>-4.9223999999999997</v>
      </c>
      <c r="K29">
        <v>0.3977</v>
      </c>
      <c r="L29">
        <v>0.84</v>
      </c>
    </row>
    <row r="30" spans="1:12" x14ac:dyDescent="0.3">
      <c r="A30" s="6" t="s">
        <v>18</v>
      </c>
      <c r="B30">
        <v>4.9364999999999997</v>
      </c>
      <c r="C30">
        <v>0.53239999999999998</v>
      </c>
      <c r="E30">
        <v>1.3325</v>
      </c>
      <c r="F30">
        <v>0.60809999999999997</v>
      </c>
      <c r="G30">
        <v>0.42880000000000001</v>
      </c>
      <c r="I30">
        <v>1.1052</v>
      </c>
      <c r="J30">
        <v>1.0815999999999999</v>
      </c>
    </row>
    <row r="31" spans="1:12" x14ac:dyDescent="0.3">
      <c r="A31" s="6" t="s">
        <v>32</v>
      </c>
      <c r="B31">
        <v>-15.8659</v>
      </c>
      <c r="C31">
        <v>2.2810000000000001</v>
      </c>
      <c r="E31">
        <v>1.5905</v>
      </c>
      <c r="F31">
        <v>2.1534</v>
      </c>
      <c r="G31">
        <v>0.78669999999999995</v>
      </c>
      <c r="K31">
        <v>0.42620000000000002</v>
      </c>
      <c r="L31">
        <v>0.66</v>
      </c>
    </row>
    <row r="32" spans="1:12" x14ac:dyDescent="0.3">
      <c r="A32" s="6" t="s">
        <v>18</v>
      </c>
      <c r="B32">
        <v>1.4238999999999999</v>
      </c>
      <c r="C32">
        <v>0.2228</v>
      </c>
      <c r="E32">
        <v>0.5474</v>
      </c>
      <c r="F32">
        <v>0.32750000000000001</v>
      </c>
      <c r="G32">
        <v>0.16839999999999999</v>
      </c>
    </row>
    <row r="33" spans="1:12" x14ac:dyDescent="0.3">
      <c r="A33" s="6" t="s">
        <v>33</v>
      </c>
      <c r="B33">
        <v>-19.3462</v>
      </c>
      <c r="C33">
        <v>2.1141999999999999</v>
      </c>
      <c r="E33">
        <v>2.8477999999999999</v>
      </c>
      <c r="F33">
        <v>2.7010999999999998</v>
      </c>
      <c r="G33">
        <v>1.0402</v>
      </c>
      <c r="I33">
        <v>2.9624999999999999</v>
      </c>
      <c r="J33">
        <v>-3.2355999999999998</v>
      </c>
      <c r="K33">
        <v>0.39479999999999998</v>
      </c>
      <c r="L33">
        <v>0.74</v>
      </c>
    </row>
    <row r="34" spans="1:12" x14ac:dyDescent="0.3">
      <c r="A34" s="6" t="s">
        <v>18</v>
      </c>
      <c r="B34">
        <v>3.3662000000000001</v>
      </c>
      <c r="C34">
        <v>0.39979999999999999</v>
      </c>
      <c r="E34">
        <v>0.89370000000000005</v>
      </c>
      <c r="F34">
        <v>0.69720000000000004</v>
      </c>
      <c r="G34">
        <v>0.2336</v>
      </c>
      <c r="I34">
        <v>0.98350000000000004</v>
      </c>
      <c r="J34">
        <v>0.876</v>
      </c>
    </row>
    <row r="35" spans="1:12" x14ac:dyDescent="0.3">
      <c r="A35" s="6" t="s">
        <v>34</v>
      </c>
      <c r="B35">
        <v>-36.251399999999997</v>
      </c>
      <c r="C35">
        <v>3.6078000000000001</v>
      </c>
      <c r="D35">
        <v>3.78</v>
      </c>
      <c r="E35">
        <v>7.5129999999999999</v>
      </c>
      <c r="F35">
        <v>4.8365999999999998</v>
      </c>
      <c r="G35">
        <v>0.81399999999999995</v>
      </c>
      <c r="I35">
        <v>4.6048</v>
      </c>
      <c r="K35">
        <v>0.32329999999999998</v>
      </c>
      <c r="L35">
        <v>0.71</v>
      </c>
    </row>
    <row r="36" spans="1:12" x14ac:dyDescent="0.3">
      <c r="A36" s="6" t="s">
        <v>18</v>
      </c>
      <c r="B36">
        <v>7.9576000000000002</v>
      </c>
      <c r="C36">
        <v>0.98060000000000003</v>
      </c>
      <c r="D36">
        <v>1.0445</v>
      </c>
      <c r="E36">
        <v>1.6763999999999999</v>
      </c>
      <c r="F36">
        <v>0.71009999999999995</v>
      </c>
      <c r="G36">
        <v>0.17369999999999999</v>
      </c>
      <c r="I36">
        <v>0.78710000000000002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6"/>
  <sheetViews>
    <sheetView tabSelected="1" workbookViewId="0">
      <pane xSplit="1" ySplit="4" topLeftCell="B5" activePane="bottomRight" state="frozenSplit"/>
      <selection activeCell="HQ14" sqref="HQ14"/>
      <selection pane="topRight" activeCell="HQ14" sqref="HQ14"/>
      <selection pane="bottomLeft" activeCell="HQ14" sqref="HQ14"/>
      <selection pane="bottomRight" activeCell="GL1" sqref="GL1:GL1048576"/>
    </sheetView>
  </sheetViews>
  <sheetFormatPr defaultColWidth="10.77734375" defaultRowHeight="16.3" x14ac:dyDescent="0.3"/>
  <cols>
    <col min="1" max="1" width="22.77734375" style="52" customWidth="1"/>
    <col min="2" max="15" width="8.6640625" style="53" customWidth="1"/>
    <col min="16" max="16" width="12.33203125" style="25" customWidth="1"/>
    <col min="17" max="17" width="9.109375" style="14" customWidth="1"/>
    <col min="18" max="27" width="8.33203125" style="16" customWidth="1"/>
    <col min="28" max="28" width="8.33203125" style="17" customWidth="1"/>
    <col min="29" max="29" width="10" style="14" customWidth="1"/>
    <col min="30" max="38" width="10" style="16" customWidth="1"/>
    <col min="39" max="39" width="10" style="17" customWidth="1"/>
    <col min="40" max="40" width="10" style="14" customWidth="1"/>
    <col min="41" max="49" width="10" style="16" customWidth="1"/>
    <col min="50" max="50" width="10" style="17" customWidth="1"/>
    <col min="51" max="51" width="10.109375" style="14" customWidth="1"/>
    <col min="52" max="63" width="10.109375" style="16" customWidth="1"/>
    <col min="64" max="64" width="10.109375" style="17" customWidth="1"/>
    <col min="65" max="65" width="10.109375" style="71" customWidth="1"/>
    <col min="66" max="67" width="10.109375" style="20" customWidth="1"/>
    <col min="68" max="68" width="5.44140625" style="21" customWidth="1"/>
    <col min="69" max="75" width="10.109375" style="20" customWidth="1"/>
    <col min="76" max="76" width="6" style="21" customWidth="1"/>
    <col min="77" max="84" width="10.109375" style="20" customWidth="1"/>
    <col min="85" max="85" width="6" style="22" customWidth="1"/>
    <col min="86" max="86" width="10.109375" style="1" customWidth="1"/>
    <col min="87" max="89" width="10.109375" style="25" customWidth="1"/>
    <col min="90" max="107" width="10.109375" style="1" customWidth="1"/>
    <col min="108" max="128" width="10.109375" style="72" customWidth="1"/>
    <col min="129" max="129" width="10.109375" style="1" customWidth="1"/>
    <col min="130" max="133" width="10.109375" style="25" customWidth="1"/>
    <col min="134" max="151" width="10.109375" style="1" customWidth="1"/>
    <col min="152" max="174" width="10.109375" style="27" customWidth="1"/>
    <col min="175" max="176" width="10.109375" style="1" customWidth="1"/>
    <col min="177" max="192" width="10.77734375" style="1" customWidth="1"/>
    <col min="193" max="193" width="10.77734375" style="1"/>
    <col min="194" max="196" width="8.109375" style="29" customWidth="1"/>
    <col min="197" max="197" width="8.109375" style="30" customWidth="1"/>
    <col min="198" max="204" width="8.109375" style="29" customWidth="1"/>
    <col min="205" max="205" width="8.109375" style="30" customWidth="1"/>
    <col min="206" max="210" width="8.109375" style="29" customWidth="1"/>
    <col min="211" max="211" width="8.109375" style="30" customWidth="1"/>
    <col min="212" max="214" width="8.109375" style="29" customWidth="1"/>
    <col min="215" max="215" width="10.77734375" style="29"/>
    <col min="216" max="219" width="8.33203125" style="29" customWidth="1"/>
    <col min="220" max="220" width="10.77734375" style="29"/>
    <col min="221" max="222" width="10.77734375" style="1"/>
    <col min="223" max="224" width="10.77734375" style="33"/>
    <col min="225" max="225" width="12.109375" style="33" customWidth="1"/>
    <col min="226" max="227" width="10.77734375" style="33"/>
    <col min="228" max="228" width="12.109375" style="34" customWidth="1"/>
    <col min="229" max="229" width="10.77734375" style="35"/>
    <col min="230" max="230" width="10.77734375" style="36"/>
    <col min="231" max="231" width="10.77734375" style="35"/>
    <col min="232" max="233" width="10.77734375" style="37"/>
    <col min="234" max="236" width="10.77734375" style="33"/>
    <col min="237" max="237" width="10.77734375" style="1"/>
    <col min="238" max="238" width="9.6640625" style="1" customWidth="1"/>
    <col min="239" max="16384" width="10.77734375" style="1"/>
  </cols>
  <sheetData>
    <row r="1" spans="1:236" ht="17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8" t="s">
        <v>38</v>
      </c>
      <c r="AC1" s="18" t="s">
        <v>39</v>
      </c>
      <c r="AN1" s="18" t="s">
        <v>40</v>
      </c>
      <c r="AY1" s="18" t="s">
        <v>41</v>
      </c>
      <c r="BM1" s="19" t="s">
        <v>42</v>
      </c>
      <c r="CI1" s="23" t="s">
        <v>43</v>
      </c>
      <c r="CJ1" s="23"/>
      <c r="CK1" s="23"/>
      <c r="CM1" s="2" t="s">
        <v>44</v>
      </c>
      <c r="DD1" s="24" t="s">
        <v>45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Z1" s="23" t="s">
        <v>46</v>
      </c>
      <c r="EE1" s="2" t="s">
        <v>47</v>
      </c>
      <c r="EV1" s="26" t="s">
        <v>48</v>
      </c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U1" s="2"/>
      <c r="GL1" s="28" t="s">
        <v>49</v>
      </c>
      <c r="HO1" s="31" t="s">
        <v>220</v>
      </c>
      <c r="HP1" s="32"/>
      <c r="HR1" s="32"/>
      <c r="HS1" s="32"/>
    </row>
    <row r="2" spans="1:236" x14ac:dyDescent="0.3">
      <c r="A2" s="3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R2" s="15"/>
      <c r="AC2" s="18"/>
      <c r="AN2" s="18"/>
      <c r="AY2" s="18"/>
      <c r="BM2" s="19"/>
      <c r="CI2" s="23"/>
      <c r="CJ2" s="23"/>
      <c r="CK2" s="23"/>
      <c r="CM2" s="2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Z2" s="23"/>
      <c r="EE2" s="2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U2" s="2"/>
      <c r="GL2" s="28"/>
      <c r="HO2" s="32" t="s">
        <v>50</v>
      </c>
      <c r="HP2" s="32" t="s">
        <v>50</v>
      </c>
      <c r="HQ2" s="32" t="s">
        <v>50</v>
      </c>
      <c r="HR2" s="32" t="s">
        <v>50</v>
      </c>
      <c r="HS2" s="32" t="s">
        <v>50</v>
      </c>
      <c r="HU2" s="39"/>
      <c r="HV2" s="40"/>
      <c r="HW2" s="39"/>
      <c r="HX2" s="41"/>
    </row>
    <row r="3" spans="1:236" s="2" customFormat="1" ht="32.6" x14ac:dyDescent="0.3">
      <c r="A3" s="42"/>
      <c r="B3" s="43">
        <v>60.08</v>
      </c>
      <c r="C3" s="43">
        <v>79.87</v>
      </c>
      <c r="D3" s="43">
        <v>101.96120000000001</v>
      </c>
      <c r="E3" s="43">
        <v>151.99</v>
      </c>
      <c r="F3" s="43">
        <v>71.84</v>
      </c>
      <c r="G3" s="43">
        <v>40.31</v>
      </c>
      <c r="H3" s="43">
        <v>56.08</v>
      </c>
      <c r="I3" s="43">
        <v>70.94</v>
      </c>
      <c r="J3" s="43">
        <v>61.978999999999999</v>
      </c>
      <c r="K3" s="43">
        <v>94.203400000000002</v>
      </c>
      <c r="L3" s="43">
        <v>19</v>
      </c>
      <c r="M3" s="43">
        <v>35.450000000000003</v>
      </c>
      <c r="N3" s="43">
        <v>18.015000000000001</v>
      </c>
      <c r="O3" s="43"/>
      <c r="P3" s="23" t="s">
        <v>51</v>
      </c>
      <c r="Q3" s="18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5" t="s">
        <v>59</v>
      </c>
      <c r="Y3" s="15" t="s">
        <v>60</v>
      </c>
      <c r="Z3" s="15" t="s">
        <v>61</v>
      </c>
      <c r="AA3" s="15" t="s">
        <v>62</v>
      </c>
      <c r="AB3" s="44" t="s">
        <v>63</v>
      </c>
      <c r="AC3" s="18" t="s">
        <v>52</v>
      </c>
      <c r="AD3" s="15" t="s">
        <v>53</v>
      </c>
      <c r="AE3" s="15" t="s">
        <v>54</v>
      </c>
      <c r="AF3" s="15" t="s">
        <v>55</v>
      </c>
      <c r="AG3" s="15" t="s">
        <v>56</v>
      </c>
      <c r="AH3" s="15" t="s">
        <v>57</v>
      </c>
      <c r="AI3" s="15" t="s">
        <v>58</v>
      </c>
      <c r="AJ3" s="15" t="s">
        <v>59</v>
      </c>
      <c r="AK3" s="15" t="s">
        <v>60</v>
      </c>
      <c r="AL3" s="15" t="s">
        <v>61</v>
      </c>
      <c r="AM3" s="44" t="s">
        <v>64</v>
      </c>
      <c r="AN3" s="18" t="s">
        <v>52</v>
      </c>
      <c r="AO3" s="15" t="s">
        <v>53</v>
      </c>
      <c r="AP3" s="15" t="s">
        <v>54</v>
      </c>
      <c r="AQ3" s="15" t="s">
        <v>55</v>
      </c>
      <c r="AR3" s="15" t="s">
        <v>56</v>
      </c>
      <c r="AS3" s="15" t="s">
        <v>57</v>
      </c>
      <c r="AT3" s="15" t="s">
        <v>58</v>
      </c>
      <c r="AU3" s="15" t="s">
        <v>59</v>
      </c>
      <c r="AV3" s="15" t="s">
        <v>60</v>
      </c>
      <c r="AW3" s="15" t="s">
        <v>61</v>
      </c>
      <c r="AX3" s="44" t="s">
        <v>64</v>
      </c>
      <c r="AY3" s="18" t="s">
        <v>65</v>
      </c>
      <c r="AZ3" s="15" t="s">
        <v>1</v>
      </c>
      <c r="BA3" s="15" t="s">
        <v>66</v>
      </c>
      <c r="BB3" s="15" t="s">
        <v>67</v>
      </c>
      <c r="BC3" s="15" t="s">
        <v>68</v>
      </c>
      <c r="BD3" s="15" t="s">
        <v>3</v>
      </c>
      <c r="BE3" s="15" t="s">
        <v>5</v>
      </c>
      <c r="BF3" s="15" t="s">
        <v>69</v>
      </c>
      <c r="BG3" s="15" t="s">
        <v>70</v>
      </c>
      <c r="BH3" s="15" t="s">
        <v>71</v>
      </c>
      <c r="BI3" s="15" t="s">
        <v>62</v>
      </c>
      <c r="BJ3" s="15" t="s">
        <v>63</v>
      </c>
      <c r="BK3" s="15" t="s">
        <v>72</v>
      </c>
      <c r="BL3" s="44" t="s">
        <v>73</v>
      </c>
      <c r="BM3" s="19" t="s">
        <v>65</v>
      </c>
      <c r="BN3" s="45" t="s">
        <v>74</v>
      </c>
      <c r="BO3" s="45" t="s">
        <v>75</v>
      </c>
      <c r="BP3" s="46" t="s">
        <v>64</v>
      </c>
      <c r="BQ3" s="45" t="s">
        <v>76</v>
      </c>
      <c r="BR3" s="45" t="s">
        <v>1</v>
      </c>
      <c r="BS3" s="45" t="s">
        <v>67</v>
      </c>
      <c r="BT3" s="45" t="s">
        <v>2</v>
      </c>
      <c r="BU3" s="45" t="s">
        <v>3</v>
      </c>
      <c r="BV3" s="45" t="s">
        <v>4</v>
      </c>
      <c r="BW3" s="45" t="s">
        <v>69</v>
      </c>
      <c r="BX3" s="46" t="s">
        <v>64</v>
      </c>
      <c r="BY3" s="45" t="s">
        <v>3</v>
      </c>
      <c r="BZ3" s="45" t="s">
        <v>4</v>
      </c>
      <c r="CA3" s="45" t="s">
        <v>69</v>
      </c>
      <c r="CB3" s="45" t="s">
        <v>5</v>
      </c>
      <c r="CC3" s="45" t="s">
        <v>70</v>
      </c>
      <c r="CD3" s="45" t="s">
        <v>64</v>
      </c>
      <c r="CE3" s="45" t="s">
        <v>70</v>
      </c>
      <c r="CF3" s="45" t="s">
        <v>71</v>
      </c>
      <c r="CG3" s="47" t="s">
        <v>64</v>
      </c>
      <c r="CI3" s="23" t="s">
        <v>77</v>
      </c>
      <c r="CJ3" s="23" t="s">
        <v>78</v>
      </c>
      <c r="CK3" s="23" t="s">
        <v>79</v>
      </c>
      <c r="CM3" s="2" t="s">
        <v>80</v>
      </c>
      <c r="CN3" s="2" t="s">
        <v>65</v>
      </c>
      <c r="CO3" s="2" t="s">
        <v>1</v>
      </c>
      <c r="CP3" s="2" t="s">
        <v>66</v>
      </c>
      <c r="CQ3" s="2" t="s">
        <v>67</v>
      </c>
      <c r="CR3" s="2" t="s">
        <v>68</v>
      </c>
      <c r="CS3" s="2" t="s">
        <v>3</v>
      </c>
      <c r="CT3" s="2" t="s">
        <v>5</v>
      </c>
      <c r="CU3" s="2" t="s">
        <v>69</v>
      </c>
      <c r="CV3" s="2" t="s">
        <v>70</v>
      </c>
      <c r="CW3" s="2" t="s">
        <v>71</v>
      </c>
      <c r="CX3" s="2" t="s">
        <v>62</v>
      </c>
      <c r="CY3" s="2" t="s">
        <v>63</v>
      </c>
      <c r="CZ3" s="2" t="s">
        <v>72</v>
      </c>
      <c r="DA3" s="2" t="s">
        <v>81</v>
      </c>
      <c r="DB3" s="2" t="s">
        <v>82</v>
      </c>
      <c r="DC3" s="2" t="s">
        <v>83</v>
      </c>
      <c r="DD3" s="24" t="s">
        <v>65</v>
      </c>
      <c r="DE3" s="24" t="s">
        <v>74</v>
      </c>
      <c r="DF3" s="24" t="s">
        <v>75</v>
      </c>
      <c r="DG3" s="24" t="s">
        <v>64</v>
      </c>
      <c r="DH3" s="24" t="s">
        <v>76</v>
      </c>
      <c r="DI3" s="24" t="s">
        <v>1</v>
      </c>
      <c r="DJ3" s="24" t="s">
        <v>67</v>
      </c>
      <c r="DK3" s="24" t="s">
        <v>2</v>
      </c>
      <c r="DL3" s="24" t="s">
        <v>3</v>
      </c>
      <c r="DM3" s="24" t="s">
        <v>4</v>
      </c>
      <c r="DN3" s="24" t="s">
        <v>69</v>
      </c>
      <c r="DO3" s="24" t="s">
        <v>64</v>
      </c>
      <c r="DP3" s="24" t="s">
        <v>3</v>
      </c>
      <c r="DQ3" s="24" t="s">
        <v>4</v>
      </c>
      <c r="DR3" s="24" t="s">
        <v>69</v>
      </c>
      <c r="DS3" s="24" t="s">
        <v>5</v>
      </c>
      <c r="DT3" s="24" t="s">
        <v>70</v>
      </c>
      <c r="DU3" s="24" t="s">
        <v>64</v>
      </c>
      <c r="DV3" s="24" t="s">
        <v>70</v>
      </c>
      <c r="DW3" s="24" t="s">
        <v>71</v>
      </c>
      <c r="DX3" s="24" t="s">
        <v>64</v>
      </c>
      <c r="DZ3" s="23" t="s">
        <v>84</v>
      </c>
      <c r="EA3" s="23" t="s">
        <v>85</v>
      </c>
      <c r="EB3" s="23" t="s">
        <v>86</v>
      </c>
      <c r="EC3" s="23" t="s">
        <v>87</v>
      </c>
      <c r="EE3" s="2" t="s">
        <v>80</v>
      </c>
      <c r="EF3" s="2" t="s">
        <v>65</v>
      </c>
      <c r="EG3" s="2" t="s">
        <v>1</v>
      </c>
      <c r="EH3" s="2" t="s">
        <v>66</v>
      </c>
      <c r="EI3" s="2" t="s">
        <v>67</v>
      </c>
      <c r="EJ3" s="2" t="s">
        <v>68</v>
      </c>
      <c r="EK3" s="2" t="s">
        <v>3</v>
      </c>
      <c r="EL3" s="2" t="s">
        <v>5</v>
      </c>
      <c r="EM3" s="2" t="s">
        <v>69</v>
      </c>
      <c r="EN3" s="2" t="s">
        <v>70</v>
      </c>
      <c r="EO3" s="2" t="s">
        <v>71</v>
      </c>
      <c r="EP3" s="2" t="s">
        <v>62</v>
      </c>
      <c r="EQ3" s="2" t="s">
        <v>63</v>
      </c>
      <c r="ER3" s="2" t="s">
        <v>72</v>
      </c>
      <c r="ES3" s="2" t="s">
        <v>81</v>
      </c>
      <c r="ET3" s="2" t="s">
        <v>88</v>
      </c>
      <c r="EU3" s="2" t="s">
        <v>83</v>
      </c>
      <c r="EV3" s="26" t="s">
        <v>65</v>
      </c>
      <c r="EW3" s="26" t="s">
        <v>74</v>
      </c>
      <c r="EX3" s="26" t="s">
        <v>75</v>
      </c>
      <c r="EY3" s="26" t="s">
        <v>64</v>
      </c>
      <c r="EZ3" s="26" t="s">
        <v>76</v>
      </c>
      <c r="FA3" s="26" t="s">
        <v>1</v>
      </c>
      <c r="FB3" s="26" t="s">
        <v>67</v>
      </c>
      <c r="FC3" s="26" t="s">
        <v>2</v>
      </c>
      <c r="FD3" s="26" t="s">
        <v>3</v>
      </c>
      <c r="FE3" s="26" t="s">
        <v>4</v>
      </c>
      <c r="FF3" s="26" t="s">
        <v>69</v>
      </c>
      <c r="FG3" s="26" t="s">
        <v>64</v>
      </c>
      <c r="FH3" s="26" t="s">
        <v>3</v>
      </c>
      <c r="FI3" s="26" t="s">
        <v>4</v>
      </c>
      <c r="FJ3" s="26" t="s">
        <v>69</v>
      </c>
      <c r="FK3" s="26" t="s">
        <v>5</v>
      </c>
      <c r="FL3" s="26" t="s">
        <v>70</v>
      </c>
      <c r="FM3" s="26" t="s">
        <v>64</v>
      </c>
      <c r="FN3" s="26" t="s">
        <v>70</v>
      </c>
      <c r="FO3" s="26" t="s">
        <v>71</v>
      </c>
      <c r="FP3" s="26" t="s">
        <v>64</v>
      </c>
      <c r="FQ3" s="26" t="s">
        <v>89</v>
      </c>
      <c r="FR3" s="26" t="s">
        <v>0</v>
      </c>
      <c r="FS3" s="2" t="s">
        <v>90</v>
      </c>
      <c r="FU3" s="2" t="s">
        <v>80</v>
      </c>
      <c r="FV3" s="2" t="s">
        <v>65</v>
      </c>
      <c r="FW3" s="2" t="s">
        <v>1</v>
      </c>
      <c r="FX3" s="2" t="s">
        <v>66</v>
      </c>
      <c r="FY3" s="2" t="s">
        <v>67</v>
      </c>
      <c r="FZ3" s="2" t="s">
        <v>68</v>
      </c>
      <c r="GA3" s="2" t="s">
        <v>3</v>
      </c>
      <c r="GB3" s="2" t="s">
        <v>5</v>
      </c>
      <c r="GC3" s="2" t="s">
        <v>69</v>
      </c>
      <c r="GD3" s="2" t="s">
        <v>70</v>
      </c>
      <c r="GE3" s="2" t="s">
        <v>71</v>
      </c>
      <c r="GF3" s="2" t="s">
        <v>62</v>
      </c>
      <c r="GG3" s="2" t="s">
        <v>63</v>
      </c>
      <c r="GH3" s="2" t="s">
        <v>72</v>
      </c>
      <c r="GI3" s="2" t="s">
        <v>81</v>
      </c>
      <c r="GJ3" s="2" t="s">
        <v>91</v>
      </c>
      <c r="GK3" s="5"/>
      <c r="GL3" s="28" t="s">
        <v>65</v>
      </c>
      <c r="GM3" s="28" t="s">
        <v>74</v>
      </c>
      <c r="GN3" s="28" t="s">
        <v>75</v>
      </c>
      <c r="GO3" s="48" t="s">
        <v>64</v>
      </c>
      <c r="GP3" s="28" t="s">
        <v>76</v>
      </c>
      <c r="GQ3" s="28" t="s">
        <v>1</v>
      </c>
      <c r="GR3" s="28" t="s">
        <v>67</v>
      </c>
      <c r="GS3" s="28" t="s">
        <v>2</v>
      </c>
      <c r="GT3" s="28" t="s">
        <v>3</v>
      </c>
      <c r="GU3" s="28" t="s">
        <v>4</v>
      </c>
      <c r="GV3" s="28" t="s">
        <v>69</v>
      </c>
      <c r="GW3" s="48" t="s">
        <v>64</v>
      </c>
      <c r="GX3" s="28" t="s">
        <v>3</v>
      </c>
      <c r="GY3" s="28" t="s">
        <v>4</v>
      </c>
      <c r="GZ3" s="28" t="s">
        <v>69</v>
      </c>
      <c r="HA3" s="28" t="s">
        <v>5</v>
      </c>
      <c r="HB3" s="28" t="s">
        <v>70</v>
      </c>
      <c r="HC3" s="48" t="s">
        <v>64</v>
      </c>
      <c r="HD3" s="28" t="s">
        <v>70</v>
      </c>
      <c r="HE3" s="28" t="s">
        <v>71</v>
      </c>
      <c r="HF3" s="28" t="s">
        <v>64</v>
      </c>
      <c r="HG3" s="28" t="s">
        <v>89</v>
      </c>
      <c r="HH3" s="49" t="s">
        <v>92</v>
      </c>
      <c r="HI3" s="49" t="s">
        <v>93</v>
      </c>
      <c r="HJ3" s="28" t="s">
        <v>1</v>
      </c>
      <c r="HK3" s="28" t="s">
        <v>35</v>
      </c>
      <c r="HL3" s="28" t="s">
        <v>0</v>
      </c>
      <c r="HM3" s="2" t="s">
        <v>50</v>
      </c>
      <c r="HN3" s="50" t="s">
        <v>94</v>
      </c>
      <c r="HO3" s="32">
        <v>1</v>
      </c>
      <c r="HP3" s="32" t="s">
        <v>95</v>
      </c>
      <c r="HQ3" s="32">
        <v>2</v>
      </c>
      <c r="HR3" s="32">
        <v>3</v>
      </c>
      <c r="HS3" s="32" t="s">
        <v>96</v>
      </c>
      <c r="HT3" s="32">
        <v>4</v>
      </c>
      <c r="HU3" s="39" t="s">
        <v>97</v>
      </c>
      <c r="HV3" s="40">
        <v>5</v>
      </c>
      <c r="HW3" s="39" t="s">
        <v>98</v>
      </c>
      <c r="HX3" s="32">
        <v>7</v>
      </c>
      <c r="HY3" s="32">
        <v>8</v>
      </c>
      <c r="HZ3" s="32">
        <v>9</v>
      </c>
      <c r="IA3" s="32">
        <v>10</v>
      </c>
      <c r="IB3" s="32">
        <v>11</v>
      </c>
    </row>
    <row r="4" spans="1:236" s="2" customFormat="1" x14ac:dyDescent="0.3">
      <c r="A4" s="100" t="s">
        <v>217</v>
      </c>
      <c r="B4" s="43" t="s">
        <v>52</v>
      </c>
      <c r="C4" s="43" t="s">
        <v>53</v>
      </c>
      <c r="D4" s="43" t="s">
        <v>54</v>
      </c>
      <c r="E4" s="43" t="s">
        <v>55</v>
      </c>
      <c r="F4" s="43" t="s">
        <v>99</v>
      </c>
      <c r="G4" s="43" t="s">
        <v>57</v>
      </c>
      <c r="H4" s="43" t="s">
        <v>58</v>
      </c>
      <c r="I4" s="43" t="s">
        <v>59</v>
      </c>
      <c r="J4" s="43" t="s">
        <v>60</v>
      </c>
      <c r="K4" s="43" t="s">
        <v>61</v>
      </c>
      <c r="L4" s="43" t="s">
        <v>62</v>
      </c>
      <c r="M4" s="43" t="s">
        <v>63</v>
      </c>
      <c r="N4" s="43" t="s">
        <v>100</v>
      </c>
      <c r="O4" s="43" t="s">
        <v>64</v>
      </c>
      <c r="P4" s="23" t="s">
        <v>101</v>
      </c>
      <c r="Q4" s="18"/>
      <c r="R4" s="15"/>
      <c r="S4" s="15"/>
      <c r="T4" s="15"/>
      <c r="U4" s="15"/>
      <c r="V4" s="15"/>
      <c r="W4" s="15"/>
      <c r="X4" s="15"/>
      <c r="Y4" s="15"/>
      <c r="Z4" s="15"/>
      <c r="AA4" s="15"/>
      <c r="AB4" s="44"/>
      <c r="AC4" s="18"/>
      <c r="AD4" s="15"/>
      <c r="AE4" s="15"/>
      <c r="AF4" s="15"/>
      <c r="AG4" s="15"/>
      <c r="AH4" s="15"/>
      <c r="AI4" s="15"/>
      <c r="AJ4" s="15"/>
      <c r="AK4" s="15"/>
      <c r="AL4" s="15"/>
      <c r="AM4" s="44"/>
      <c r="AN4" s="18"/>
      <c r="AO4" s="15"/>
      <c r="AP4" s="15"/>
      <c r="AQ4" s="15"/>
      <c r="AR4" s="15"/>
      <c r="AS4" s="15"/>
      <c r="AT4" s="15"/>
      <c r="AU4" s="15"/>
      <c r="AV4" s="15"/>
      <c r="AW4" s="15"/>
      <c r="AX4" s="44"/>
      <c r="AY4" s="18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44"/>
      <c r="BM4" s="19" t="s">
        <v>102</v>
      </c>
      <c r="BN4" s="45"/>
      <c r="BO4" s="45"/>
      <c r="BP4" s="46"/>
      <c r="BQ4" s="45" t="s">
        <v>103</v>
      </c>
      <c r="BR4" s="45"/>
      <c r="BS4" s="45"/>
      <c r="BT4" s="45"/>
      <c r="BU4" s="45"/>
      <c r="BV4" s="45"/>
      <c r="BW4" s="45"/>
      <c r="BX4" s="46"/>
      <c r="BY4" s="45" t="s">
        <v>104</v>
      </c>
      <c r="BZ4" s="45"/>
      <c r="CA4" s="45"/>
      <c r="CB4" s="45"/>
      <c r="CC4" s="45"/>
      <c r="CD4" s="45"/>
      <c r="CE4" s="45" t="s">
        <v>105</v>
      </c>
      <c r="CF4" s="45"/>
      <c r="CG4" s="47"/>
      <c r="CI4" s="23"/>
      <c r="CJ4" s="23"/>
      <c r="CK4" s="23"/>
      <c r="DD4" s="24" t="s">
        <v>102</v>
      </c>
      <c r="DE4" s="24"/>
      <c r="DF4" s="24"/>
      <c r="DG4" s="24"/>
      <c r="DH4" s="24" t="s">
        <v>103</v>
      </c>
      <c r="DI4" s="24"/>
      <c r="DJ4" s="24"/>
      <c r="DK4" s="24"/>
      <c r="DL4" s="24"/>
      <c r="DM4" s="24"/>
      <c r="DN4" s="24"/>
      <c r="DO4" s="24"/>
      <c r="DP4" s="24" t="s">
        <v>104</v>
      </c>
      <c r="DQ4" s="24"/>
      <c r="DR4" s="24"/>
      <c r="DS4" s="24"/>
      <c r="DT4" s="24"/>
      <c r="DU4" s="24"/>
      <c r="DV4" s="24" t="s">
        <v>105</v>
      </c>
      <c r="DW4" s="24"/>
      <c r="DX4" s="24"/>
      <c r="DZ4" s="23"/>
      <c r="EA4" s="23"/>
      <c r="EB4" s="23"/>
      <c r="EC4" s="23"/>
      <c r="EV4" s="26" t="s">
        <v>102</v>
      </c>
      <c r="EW4" s="26"/>
      <c r="EX4" s="26"/>
      <c r="EY4" s="26"/>
      <c r="EZ4" s="26" t="s">
        <v>103</v>
      </c>
      <c r="FA4" s="26"/>
      <c r="FB4" s="26"/>
      <c r="FC4" s="26"/>
      <c r="FD4" s="26"/>
      <c r="FE4" s="26"/>
      <c r="FF4" s="26"/>
      <c r="FG4" s="26"/>
      <c r="FH4" s="26" t="s">
        <v>104</v>
      </c>
      <c r="FI4" s="26"/>
      <c r="FJ4" s="26"/>
      <c r="FK4" s="26"/>
      <c r="FL4" s="26"/>
      <c r="FM4" s="26"/>
      <c r="FN4" s="26" t="s">
        <v>105</v>
      </c>
      <c r="FO4" s="26"/>
      <c r="FP4" s="26"/>
      <c r="FQ4" s="26"/>
      <c r="FR4" s="26"/>
      <c r="GK4" s="5"/>
      <c r="GL4" s="28" t="s">
        <v>102</v>
      </c>
      <c r="GM4" s="28"/>
      <c r="GN4" s="28"/>
      <c r="GO4" s="48"/>
      <c r="GP4" s="28" t="s">
        <v>103</v>
      </c>
      <c r="GQ4" s="28"/>
      <c r="GR4" s="28"/>
      <c r="GS4" s="28"/>
      <c r="GT4" s="28"/>
      <c r="GU4" s="28"/>
      <c r="GV4" s="28"/>
      <c r="GW4" s="48"/>
      <c r="GX4" s="28" t="s">
        <v>104</v>
      </c>
      <c r="GY4" s="28"/>
      <c r="GZ4" s="28"/>
      <c r="HA4" s="28"/>
      <c r="HB4" s="28"/>
      <c r="HC4" s="48"/>
      <c r="HD4" s="28" t="s">
        <v>105</v>
      </c>
      <c r="HE4" s="28"/>
      <c r="HF4" s="28"/>
      <c r="HG4" s="51"/>
      <c r="HH4" s="51"/>
      <c r="HI4" s="51"/>
      <c r="HJ4" s="51"/>
      <c r="HK4" s="51"/>
      <c r="HL4" s="51"/>
      <c r="HO4" s="32" t="s">
        <v>106</v>
      </c>
      <c r="HP4" s="32" t="s">
        <v>106</v>
      </c>
      <c r="HQ4" s="32" t="s">
        <v>106</v>
      </c>
      <c r="HR4" s="32" t="s">
        <v>106</v>
      </c>
      <c r="HS4" s="32" t="s">
        <v>106</v>
      </c>
      <c r="HT4" s="32" t="s">
        <v>107</v>
      </c>
      <c r="HU4" s="39" t="s">
        <v>107</v>
      </c>
      <c r="HV4" s="32" t="s">
        <v>107</v>
      </c>
      <c r="HW4" s="39" t="s">
        <v>108</v>
      </c>
      <c r="HX4" s="32" t="s">
        <v>108</v>
      </c>
      <c r="HY4" s="32" t="s">
        <v>109</v>
      </c>
      <c r="HZ4" s="32" t="s">
        <v>110</v>
      </c>
      <c r="IA4" s="32" t="s">
        <v>111</v>
      </c>
      <c r="IB4" s="32" t="s">
        <v>112</v>
      </c>
    </row>
    <row r="5" spans="1:236" x14ac:dyDescent="0.3">
      <c r="B5" s="53">
        <v>42.896099999999997</v>
      </c>
      <c r="C5" s="53">
        <v>2.5287000000000002</v>
      </c>
      <c r="D5" s="53">
        <v>12.0558</v>
      </c>
      <c r="F5" s="53">
        <v>9.5601000000000003</v>
      </c>
      <c r="G5" s="53">
        <v>15.3346</v>
      </c>
      <c r="H5" s="53">
        <v>11.7423</v>
      </c>
      <c r="I5" s="53">
        <v>0.1225</v>
      </c>
      <c r="J5" s="53">
        <v>2.4590000000000001</v>
      </c>
      <c r="K5" s="53">
        <v>0.59989999999999999</v>
      </c>
      <c r="L5" s="53">
        <v>0.13</v>
      </c>
      <c r="M5" s="53">
        <v>1.2699999999999999E-2</v>
      </c>
      <c r="O5" s="53">
        <f>SUM(B5:N5)</f>
        <v>97.441699999999997</v>
      </c>
      <c r="P5" s="9">
        <v>1000</v>
      </c>
      <c r="Q5" s="54">
        <f t="shared" ref="Q5:AB6" si="0">B5/B$3</f>
        <v>0.71398302263648461</v>
      </c>
      <c r="R5" s="55">
        <f t="shared" si="0"/>
        <v>3.1660197821459873E-2</v>
      </c>
      <c r="S5" s="55">
        <f t="shared" si="0"/>
        <v>0.11823909487138244</v>
      </c>
      <c r="T5" s="55">
        <f t="shared" si="0"/>
        <v>0</v>
      </c>
      <c r="U5" s="55">
        <f t="shared" si="0"/>
        <v>0.13307488864142539</v>
      </c>
      <c r="V5" s="55">
        <f t="shared" si="0"/>
        <v>0.38041677003225005</v>
      </c>
      <c r="W5" s="55">
        <f t="shared" si="0"/>
        <v>0.20938480741797433</v>
      </c>
      <c r="X5" s="55">
        <f t="shared" si="0"/>
        <v>1.7268113899069637E-3</v>
      </c>
      <c r="Y5" s="55">
        <f t="shared" si="0"/>
        <v>3.9674728537085147E-2</v>
      </c>
      <c r="Z5" s="55">
        <f t="shared" si="0"/>
        <v>6.3681353326949979E-3</v>
      </c>
      <c r="AA5" s="55">
        <f t="shared" si="0"/>
        <v>6.842105263157895E-3</v>
      </c>
      <c r="AB5" s="56">
        <f t="shared" si="0"/>
        <v>3.5825105782792661E-4</v>
      </c>
      <c r="AC5" s="57">
        <f>Q5*2</f>
        <v>1.4279660452729692</v>
      </c>
      <c r="AD5" s="55">
        <f>R5*2</f>
        <v>6.3320395642919747E-2</v>
      </c>
      <c r="AE5" s="55">
        <f>S5*3</f>
        <v>0.35471728461414731</v>
      </c>
      <c r="AF5" s="55">
        <f>T5*3</f>
        <v>0</v>
      </c>
      <c r="AG5" s="55">
        <f t="shared" ref="AG5:AL6" si="1">U5</f>
        <v>0.13307488864142539</v>
      </c>
      <c r="AH5" s="55">
        <f t="shared" si="1"/>
        <v>0.38041677003225005</v>
      </c>
      <c r="AI5" s="55">
        <f t="shared" si="1"/>
        <v>0.20938480741797433</v>
      </c>
      <c r="AJ5" s="55">
        <f t="shared" si="1"/>
        <v>1.7268113899069637E-3</v>
      </c>
      <c r="AK5" s="55">
        <f t="shared" si="1"/>
        <v>3.9674728537085147E-2</v>
      </c>
      <c r="AL5" s="55">
        <f t="shared" si="1"/>
        <v>6.3681353326949979E-3</v>
      </c>
      <c r="AM5" s="56">
        <f>SUM(AC5:AL5)</f>
        <v>2.6166498668813731</v>
      </c>
      <c r="AN5" s="57">
        <f t="shared" ref="AN5:AW5" si="2">AC5*23/$AM5</f>
        <v>12.551629263422292</v>
      </c>
      <c r="AO5" s="55">
        <f t="shared" si="2"/>
        <v>0.55657775165880807</v>
      </c>
      <c r="AP5" s="55">
        <f t="shared" si="2"/>
        <v>3.1179171693494512</v>
      </c>
      <c r="AQ5" s="55">
        <f t="shared" si="2"/>
        <v>0</v>
      </c>
      <c r="AR5" s="55">
        <f t="shared" si="2"/>
        <v>1.1697103527269677</v>
      </c>
      <c r="AS5" s="55">
        <f t="shared" si="2"/>
        <v>3.3438121857586753</v>
      </c>
      <c r="AT5" s="55">
        <f t="shared" si="2"/>
        <v>1.8404642637011006</v>
      </c>
      <c r="AU5" s="55">
        <f t="shared" si="2"/>
        <v>1.5178439603459846E-2</v>
      </c>
      <c r="AV5" s="55">
        <f t="shared" si="2"/>
        <v>0.34873552166936816</v>
      </c>
      <c r="AW5" s="55">
        <f t="shared" si="2"/>
        <v>5.5975052109875995E-2</v>
      </c>
      <c r="AX5" s="56">
        <f>SUM(AN5:AW5)</f>
        <v>23</v>
      </c>
      <c r="AY5" s="57">
        <f>AN5/2</f>
        <v>6.2758146317111461</v>
      </c>
      <c r="AZ5" s="55">
        <f>AO5/2</f>
        <v>0.27828887582940404</v>
      </c>
      <c r="BA5" s="55">
        <f>AP5*2/3</f>
        <v>2.0786114462329675</v>
      </c>
      <c r="BB5" s="55">
        <f>AQ5*2/3</f>
        <v>0</v>
      </c>
      <c r="BC5" s="55">
        <f t="shared" ref="BC5:BF6" si="3">AR5</f>
        <v>1.1697103527269677</v>
      </c>
      <c r="BD5" s="55">
        <f t="shared" si="3"/>
        <v>3.3438121857586753</v>
      </c>
      <c r="BE5" s="55">
        <f t="shared" si="3"/>
        <v>1.8404642637011006</v>
      </c>
      <c r="BF5" s="55">
        <f t="shared" si="3"/>
        <v>1.5178439603459846E-2</v>
      </c>
      <c r="BG5" s="55">
        <f>AV5*2</f>
        <v>0.69747104333873633</v>
      </c>
      <c r="BH5" s="55">
        <f>AW5*2</f>
        <v>0.11195010421975199</v>
      </c>
      <c r="BI5" s="55">
        <f>AA5*23/$AM5</f>
        <v>6.014118397895913E-2</v>
      </c>
      <c r="BJ5" s="55">
        <f>AB5*23/$AM5</f>
        <v>3.1489785600787319E-3</v>
      </c>
      <c r="BK5" s="55">
        <f>2-BI5-BJ5</f>
        <v>1.9367098374609621</v>
      </c>
      <c r="BL5" s="56">
        <f>SUM(AY5:BH5)</f>
        <v>15.81130134312221</v>
      </c>
      <c r="BM5" s="58">
        <f>AY5</f>
        <v>6.2758146317111461</v>
      </c>
      <c r="BN5" s="59">
        <f>IF(BM5&lt;8,IF((8-BM5)&lt;BA5,(8-BM5),BA5),0)</f>
        <v>1.7241853682888539</v>
      </c>
      <c r="BO5" s="59">
        <f>IF((BN5+BM5)&lt;8,8-(BN5+BM5),0)</f>
        <v>0</v>
      </c>
      <c r="BP5" s="59">
        <f>SUM(BM5:BO5)</f>
        <v>8</v>
      </c>
      <c r="BQ5" s="59">
        <f>IF((BA5-BN5)&gt;0,(BA5-BN5),0)</f>
        <v>0.35442607794411352</v>
      </c>
      <c r="BR5" s="59">
        <f>IF(BQ5+AZ5&lt;5,AZ5,5-BQ5)</f>
        <v>0.27828887582940404</v>
      </c>
      <c r="BS5" s="59">
        <f>IF(BQ5+BR5+BB5&lt;5,BB5,5-BR5-BQ5)</f>
        <v>0</v>
      </c>
      <c r="BT5" s="59"/>
      <c r="BU5" s="59">
        <f>IF(SUM(BQ5:BT5)&lt;5,IF((SUM(BQ5:BT5)+BD5)&lt;5,BD5,5-SUM(BQ5:BT5)),0)</f>
        <v>3.3438121857586753</v>
      </c>
      <c r="BV5" s="59">
        <f>IF(SUM(BQ5:BU5)&lt;5,IF((SUM(BQ5:BU5)+BC5)&lt;5,BC5,5-SUM(BQ5:BU5)),0)</f>
        <v>1.0234728604678072</v>
      </c>
      <c r="BW5" s="59">
        <f>IF(SUM(BQ5:BV5)&lt;5,IF((SUM(BQ5:BV5)+BF5)&lt;5,BF5,5-SUM(BQ5:BV5)),0)</f>
        <v>0</v>
      </c>
      <c r="BX5" s="59">
        <f>SUM(BQ5:BW5)</f>
        <v>5</v>
      </c>
      <c r="BY5" s="59">
        <f>IF((BD5-BU5)&gt;0,(BD5-BU5),0)</f>
        <v>0</v>
      </c>
      <c r="BZ5" s="59">
        <f>IF((BC5-BV5)&gt;0,(BC5-BV5),0)</f>
        <v>0.1462374922591605</v>
      </c>
      <c r="CA5" s="59">
        <f>IF((BF5-BW5)&gt;0,(BF5-BW5),0)</f>
        <v>1.5178439603459846E-2</v>
      </c>
      <c r="CB5" s="59">
        <f>BE5</f>
        <v>1.8404642637011006</v>
      </c>
      <c r="CC5" s="60">
        <f>IF((SUM(BY5:CB5)&lt;2),IF((2-(BY5+BZ5+CA5+CB5))&lt;BE5,(2-SUM(BY5:CB5)),BE5),0)</f>
        <v>0</v>
      </c>
      <c r="CD5" s="59">
        <f>SUM(BY5:CC5)</f>
        <v>2.0018801955637211</v>
      </c>
      <c r="CE5" s="59">
        <f>BG5-CC5</f>
        <v>0.69747104333873633</v>
      </c>
      <c r="CF5" s="59">
        <f>BH5</f>
        <v>0.11195010421975199</v>
      </c>
      <c r="CG5" s="61">
        <f>SUM(CE5:CF5)</f>
        <v>0.80942114755848826</v>
      </c>
      <c r="CH5" s="9"/>
      <c r="CI5" s="9">
        <f>8/AY5</f>
        <v>1.2747349100428644</v>
      </c>
      <c r="CJ5" s="9">
        <f>16/SUM(AY5:BH5)</f>
        <v>1.0119344165785489</v>
      </c>
      <c r="CK5" s="9">
        <f>15/SUM(AY5:BF5)</f>
        <v>0.99987466933882863</v>
      </c>
      <c r="CL5" s="9"/>
      <c r="CM5" s="9">
        <f>IF(MIN(CI5:CK5)&lt;1,MIN(CI5:CK5),1)</f>
        <v>0.99987466933882863</v>
      </c>
      <c r="CN5" s="9">
        <f t="shared" ref="CN5:CZ5" si="4">$CM5*AY5</f>
        <v>6.275028079713965</v>
      </c>
      <c r="CO5" s="9">
        <f t="shared" si="4"/>
        <v>0.27825399770059972</v>
      </c>
      <c r="CP5" s="9">
        <f t="shared" si="4"/>
        <v>2.0783509324860927</v>
      </c>
      <c r="CQ5" s="9">
        <f t="shared" si="4"/>
        <v>0</v>
      </c>
      <c r="CR5" s="9">
        <f t="shared" si="4"/>
        <v>1.1695637521550815</v>
      </c>
      <c r="CS5" s="9">
        <f t="shared" si="4"/>
        <v>3.3433931035666014</v>
      </c>
      <c r="CT5" s="9">
        <f t="shared" si="4"/>
        <v>1.8402335970980688</v>
      </c>
      <c r="CU5" s="9">
        <f t="shared" si="4"/>
        <v>1.5176537279588795E-2</v>
      </c>
      <c r="CV5" s="9">
        <f t="shared" si="4"/>
        <v>0.69738362883172678</v>
      </c>
      <c r="CW5" s="9">
        <f t="shared" si="4"/>
        <v>0.11193607343917192</v>
      </c>
      <c r="CX5" s="9">
        <f t="shared" si="4"/>
        <v>6.0133646444607419E-2</v>
      </c>
      <c r="CY5" s="9">
        <f t="shared" si="4"/>
        <v>3.1485838965137829E-3</v>
      </c>
      <c r="CZ5" s="9">
        <f t="shared" si="4"/>
        <v>1.9364671083365361</v>
      </c>
      <c r="DA5" s="9">
        <f>CN5*2+CO5*2+CP5*3/2+CQ5*3/2+CR5+CS5+CT5+CU5+CV5/2+CW5/2</f>
        <v>22.997117394793065</v>
      </c>
      <c r="DB5" s="9">
        <f>(23-DA5)*2</f>
        <v>5.7652104138696814E-3</v>
      </c>
      <c r="DC5" s="9" t="str">
        <f>IF(DB5&gt;BC5,"FAIL","")</f>
        <v/>
      </c>
      <c r="DD5" s="62">
        <f>CN5</f>
        <v>6.275028079713965</v>
      </c>
      <c r="DE5" s="62">
        <f>IF(DD5&lt;8,IF((8-DD5)&lt;CP5,(8-DD5),CP5),0)</f>
        <v>1.724971920286035</v>
      </c>
      <c r="DF5" s="62">
        <f>IF((DE5+DD5)&lt;8,IF((8-DE5-DD5)&gt;CO5,CO5,(8-(DE5+DD5))),0)</f>
        <v>0</v>
      </c>
      <c r="DG5" s="62">
        <f>SUM(DD5:DF5)</f>
        <v>8</v>
      </c>
      <c r="DH5" s="62">
        <f>IF((CP5-DE5)&gt;0,(CP5-DE5),0)</f>
        <v>0.35337901220005774</v>
      </c>
      <c r="DI5" s="62">
        <f>IF(DH5+CO5&lt;5,CO5,5-DH5)</f>
        <v>0.27825399770059972</v>
      </c>
      <c r="DJ5" s="62">
        <f>IF(DH5+DI5+CQ5&lt;5,CQ5,5-DI5-DH5)</f>
        <v>0</v>
      </c>
      <c r="DK5" s="62">
        <f>DB5</f>
        <v>5.7652104138696814E-3</v>
      </c>
      <c r="DL5" s="62">
        <f>IF(SUM(DH5:DK5)&lt;5,IF((SUM(DH5:DK5)+CS5)&lt;5,CS5,5-SUM(DH5:DK5)),0)</f>
        <v>3.3433931035666014</v>
      </c>
      <c r="DM5" s="62">
        <f>IF(SUM(DH5:DL5)&lt;5,IF((SUM(DH5:DL5)+CR5-DB5)&lt;5,CR5-DB5,5-SUM(DH5:DL5)),0)</f>
        <v>1.0192086761188714</v>
      </c>
      <c r="DN5" s="62">
        <f>IF(SUM(DH5:DM5)&lt;5,IF((SUM(DH5:DM5)+CU5)&lt;5,CU5,5-SUM(DH5:DM5)),0)</f>
        <v>0</v>
      </c>
      <c r="DO5" s="62">
        <f>SUM(DH5:DN5)</f>
        <v>5</v>
      </c>
      <c r="DP5" s="62">
        <f>IF((CS5-DL5)&gt;0,(CS5-DL5),0)</f>
        <v>0</v>
      </c>
      <c r="DQ5" s="62">
        <f>IF((CR5-DM5-DK5)&gt;0,(CR5-DM5-DK5),0)</f>
        <v>0.14458986562234033</v>
      </c>
      <c r="DR5" s="62">
        <f>IF((CU5-DN5)&gt;0,(CU5-DN5),0)</f>
        <v>1.5176537279588795E-2</v>
      </c>
      <c r="DS5" s="62">
        <f>CT5</f>
        <v>1.8402335970980688</v>
      </c>
      <c r="DT5" s="62">
        <f>IF((SUM(DP5:DS5)&lt;2),IF((2-(DP5+DQ5+DR5+DS5))&lt;CV5,(2-SUM(DP5:DS5)),CV5),0)</f>
        <v>0</v>
      </c>
      <c r="DU5" s="62">
        <f>SUM(DP5:DT5)</f>
        <v>1.9999999999999978</v>
      </c>
      <c r="DV5" s="62">
        <f>CV5-DT5</f>
        <v>0.69738362883172678</v>
      </c>
      <c r="DW5" s="62">
        <f>CX5</f>
        <v>6.0133646444607419E-2</v>
      </c>
      <c r="DX5" s="62">
        <f>SUM(DV5:DW5)</f>
        <v>0.75751727527633417</v>
      </c>
      <c r="DY5" s="9"/>
      <c r="DZ5" s="9">
        <f>8/(AY5+BA5)</f>
        <v>0.95757625064397822</v>
      </c>
      <c r="EA5" s="9">
        <f>15/SUM(AY5:BG5)</f>
        <v>0.95545349433488114</v>
      </c>
      <c r="EB5" s="9">
        <f>13/(SUM(AY5:BF5)-BE5)</f>
        <v>0.98773567124553452</v>
      </c>
      <c r="EC5" s="9">
        <f>23/(23+(0.5*BC5))</f>
        <v>0.97520208744170622</v>
      </c>
      <c r="ED5" s="9"/>
      <c r="EE5" s="9">
        <f>MAX(DZ5:EC5)</f>
        <v>0.98773567124553452</v>
      </c>
      <c r="EF5" s="9">
        <f t="shared" ref="EF5:ER5" si="5">$EE5*AY5</f>
        <v>6.1988459778657559</v>
      </c>
      <c r="EG5" s="9">
        <f t="shared" si="5"/>
        <v>0.27487584956752159</v>
      </c>
      <c r="EH5" s="9">
        <f t="shared" si="5"/>
        <v>2.0531186721035715</v>
      </c>
      <c r="EI5" s="9">
        <f t="shared" si="5"/>
        <v>0</v>
      </c>
      <c r="EJ5" s="9">
        <f t="shared" si="5"/>
        <v>1.1553646404136224</v>
      </c>
      <c r="EK5" s="9">
        <f t="shared" si="5"/>
        <v>3.3028025738193429</v>
      </c>
      <c r="EL5" s="9">
        <f t="shared" si="5"/>
        <v>1.8178922049102251</v>
      </c>
      <c r="EM5" s="9">
        <f t="shared" si="5"/>
        <v>1.4992286230183217E-2</v>
      </c>
      <c r="EN5" s="9">
        <f t="shared" si="5"/>
        <v>0.68891702916650999</v>
      </c>
      <c r="EO5" s="9">
        <f t="shared" si="5"/>
        <v>0.11057711133750428</v>
      </c>
      <c r="EP5" s="9">
        <f t="shared" si="5"/>
        <v>5.940359272695838E-2</v>
      </c>
      <c r="EQ5" s="9">
        <f t="shared" si="5"/>
        <v>3.1103584517771631E-3</v>
      </c>
      <c r="ER5" s="9">
        <f t="shared" si="5"/>
        <v>1.9129573913123334</v>
      </c>
      <c r="ES5" s="9">
        <f>EF5*2+EG5*2+EH5*3/2+EI5*3/2+EJ5+EK5+EL5+EM5+EN5/2+EO5/2</f>
        <v>22.717920438647294</v>
      </c>
      <c r="ET5" s="9">
        <f>(23-ES5)*2</f>
        <v>0.56415912270541213</v>
      </c>
      <c r="EU5" s="9" t="str">
        <f>IF(ET5&gt;BC5,"FAIL","")</f>
        <v/>
      </c>
      <c r="EV5" s="63">
        <f>EF5</f>
        <v>6.1988459778657559</v>
      </c>
      <c r="EW5" s="63">
        <f>IF(EV5&lt;8,IF((8-EV5)&lt;EH5,(8-EV5),EH5),0)</f>
        <v>1.8011540221342441</v>
      </c>
      <c r="EX5" s="63">
        <f>IF((EW5+EV5)&lt;8,IF((8-EW5-EV5)&gt;EG5,EG5,(8-(EW5+EV5))),0)</f>
        <v>0</v>
      </c>
      <c r="EY5" s="63">
        <f>SUM(EV5:EX5)</f>
        <v>8</v>
      </c>
      <c r="EZ5" s="63">
        <f>IF((EH5-EW5)&gt;0,(EH5-EW5),0)</f>
        <v>0.25196464996932733</v>
      </c>
      <c r="FA5" s="63">
        <f>IF(EZ5+EG5&lt;5,EG5,5-EZ5)</f>
        <v>0.27487584956752159</v>
      </c>
      <c r="FB5" s="63">
        <f>IF(EZ5+FA5+EI5&lt;5,EI5,5-FA5-EZ5)</f>
        <v>0</v>
      </c>
      <c r="FC5" s="63">
        <f>ET5</f>
        <v>0.56415912270541213</v>
      </c>
      <c r="FD5" s="63">
        <f>IF(SUM(EZ5:FC5)&lt;5,IF((SUM(EZ5:FC5)+EK5)&lt;5,EK5,5-SUM(EZ5:FC5)),0)</f>
        <v>3.3028025738193429</v>
      </c>
      <c r="FE5" s="63">
        <f>IF(SUM(EZ5:FD5)&lt;5,IF((SUM(EZ5:FD5)+(EJ5-ET5))&lt;5,EJ5-ET5,5-SUM(EZ5:FD5)),0)</f>
        <v>0.59120551770821028</v>
      </c>
      <c r="FF5" s="63">
        <f>IF(SUM(EZ5:FE5)&lt;5,IF((SUM(EZ5:FE5)+EM5)&lt;5,EM5,5-SUM(EZ5:FE5)),0)</f>
        <v>1.499228623018567E-2</v>
      </c>
      <c r="FG5" s="63">
        <f>SUM(EZ5:FF5)</f>
        <v>5</v>
      </c>
      <c r="FH5" s="63">
        <f>IF((EK5-FD5)&gt;0,(EK5-FD5),0)</f>
        <v>0</v>
      </c>
      <c r="FI5" s="63">
        <f>IF((EJ5-FE5-FC5)&gt;0,(EJ5-FE5-FC5),0)</f>
        <v>0</v>
      </c>
      <c r="FJ5" s="63">
        <f>IF((EM5-FF5)&gt;0,(EM5-FF5),0)</f>
        <v>0</v>
      </c>
      <c r="FK5" s="63">
        <f>EL5</f>
        <v>1.8178922049102251</v>
      </c>
      <c r="FL5" s="63">
        <f>IF((SUM(FH5:FK5)&lt;2),IF((2-(FH5+FI5+FJ5+FK5))&lt;EN5,(2-SUM(FH5:FK5)),EN5),0)</f>
        <v>0.18210779508977493</v>
      </c>
      <c r="FM5" s="63">
        <f>SUM(FH5:FL5)</f>
        <v>2</v>
      </c>
      <c r="FN5" s="63">
        <f>EN5-FL5</f>
        <v>0.50680923407673506</v>
      </c>
      <c r="FO5" s="63">
        <f>EO5</f>
        <v>0.11057711133750428</v>
      </c>
      <c r="FP5" s="63">
        <f>SUM(FN5:FO5)</f>
        <v>0.61738634541423931</v>
      </c>
      <c r="FQ5" s="63" t="str">
        <f>IF(OR(FC5&lt;0, FE5&lt;0, FN5&lt;0, FP5&gt;1), "Fail", "Pass")</f>
        <v>Pass</v>
      </c>
      <c r="FR5" s="63" t="str">
        <f>IF(FK5&lt;1.5,"Low-Ca",IF(FQ5="Fail","Invalid",IF(FA5&gt;0.5,"Kaersutite",IF(FP5&lt;=0.5,IF(EV5&gt;=6.5,"Mg-Hbl","Tsch"),IF(EZ5&lt;FC5,"Mg-Hst","Prg")))))</f>
        <v>Mg-Hst</v>
      </c>
      <c r="FS5" s="9">
        <f>FD5/(FD5+FE5+FI5)</f>
        <v>0.848175580581218</v>
      </c>
      <c r="FT5" s="9"/>
      <c r="FU5" s="9">
        <f>AVERAGE(EE5,CM5)</f>
        <v>0.99380517029218152</v>
      </c>
      <c r="FV5" s="9">
        <f t="shared" ref="FV5:GH5" si="6">$FU5*AY5</f>
        <v>6.2369370287898596</v>
      </c>
      <c r="FW5" s="9">
        <f t="shared" si="6"/>
        <v>0.27656492363406066</v>
      </c>
      <c r="FX5" s="9">
        <f t="shared" si="6"/>
        <v>2.0657348022948319</v>
      </c>
      <c r="FY5" s="9">
        <f t="shared" si="6"/>
        <v>0</v>
      </c>
      <c r="FZ5" s="9">
        <f t="shared" si="6"/>
        <v>1.1624641962843518</v>
      </c>
      <c r="GA5" s="9">
        <f t="shared" si="6"/>
        <v>3.3230978386929722</v>
      </c>
      <c r="GB5" s="9">
        <f t="shared" si="6"/>
        <v>1.8290629010041468</v>
      </c>
      <c r="GC5" s="9">
        <f t="shared" si="6"/>
        <v>1.5084411754886005E-2</v>
      </c>
      <c r="GD5" s="9">
        <f t="shared" si="6"/>
        <v>0.69315032899911833</v>
      </c>
      <c r="GE5" s="9">
        <f t="shared" si="6"/>
        <v>0.1112565923883381</v>
      </c>
      <c r="GF5" s="9">
        <f t="shared" si="6"/>
        <v>5.9768619585782896E-2</v>
      </c>
      <c r="GG5" s="9">
        <f t="shared" si="6"/>
        <v>3.1294711741454728E-3</v>
      </c>
      <c r="GH5" s="9">
        <f t="shared" si="6"/>
        <v>1.9247122498244347</v>
      </c>
      <c r="GI5" s="9">
        <f>FV5*2+FW5*2+FX5*3/2+FY5*3/2+FZ5+GA5+GB5+GC5+GD5/2+GE5/2</f>
        <v>22.857518916720167</v>
      </c>
      <c r="GJ5" s="9">
        <f>(23-GI5)*2</f>
        <v>0.28496216655966577</v>
      </c>
      <c r="GK5" s="9"/>
      <c r="GL5" s="64">
        <f>FV5</f>
        <v>6.2369370287898596</v>
      </c>
      <c r="GM5" s="64">
        <f>IF(GL5&lt;8,IF((8-GL5)&lt;FX5,(8-GL5),FX5),0)</f>
        <v>1.7630629712101404</v>
      </c>
      <c r="GN5" s="64">
        <f>IF((GM5+GL5)&lt;8,IF((8-GM5-GL5)&gt;FW5,FW5,(8-(GM5+GL5))),0)</f>
        <v>0</v>
      </c>
      <c r="GO5" s="65">
        <f>SUM(GL5:GN5)</f>
        <v>8</v>
      </c>
      <c r="GP5" s="64">
        <f>IF((FX5-GM5)&gt;0,(FX5-GM5),0)</f>
        <v>0.30267183108469142</v>
      </c>
      <c r="GQ5" s="64">
        <f>IF(GP5+FW5&lt;5,FW5,5-GP5)</f>
        <v>0.27656492363406066</v>
      </c>
      <c r="GR5" s="64">
        <f>IF(GP5+GQ5+FY5&lt;5,FY5,5-GQ5-GP5)</f>
        <v>0</v>
      </c>
      <c r="GS5" s="64">
        <f>GJ5</f>
        <v>0.28496216655966577</v>
      </c>
      <c r="GT5" s="64">
        <f>IF(SUM(GP5:GS5)&lt;5,IF((SUM(GP5:GS5)+GA5)&lt;5,GA5,5-SUM(GP5:GS5)),0)</f>
        <v>3.3230978386929722</v>
      </c>
      <c r="GU5" s="64">
        <f>IF(SUM(GP5:GT5)&lt;5,IF((SUM(GP5:GT5)+(FZ5-GS5))&lt;5,FZ5-GS5,5-SUM(GP5:GT5)),0)</f>
        <v>0.81270324002861027</v>
      </c>
      <c r="GV5" s="64">
        <f>IF(SUM(GP5:GU5)&lt;5,IF((SUM(GP5:GU5)+GC5)&lt;5,GC5,5-SUM(GP5:GU5)),0)</f>
        <v>0</v>
      </c>
      <c r="GW5" s="65">
        <f>SUM(GP5:GV5)</f>
        <v>5</v>
      </c>
      <c r="GX5" s="64">
        <f>IF((GA5-GT5)&gt;0,(GA5-GT5),0)</f>
        <v>0</v>
      </c>
      <c r="GY5" s="64">
        <f>IF((FZ5-GU5-GS5)&gt;0,(FZ5-GU5-GS5),0)</f>
        <v>6.4798789696075776E-2</v>
      </c>
      <c r="GZ5" s="64">
        <f>IF((GC5-GV5)&gt;0,(GC5-GV5),0)</f>
        <v>1.5084411754886005E-2</v>
      </c>
      <c r="HA5" s="64">
        <f>GB5</f>
        <v>1.8290629010041468</v>
      </c>
      <c r="HB5" s="64">
        <f>IF((SUM(GX5:HA5)&lt;2),IF((2-(GX5+GY5+GZ5+HA5))&lt;GD5,(2-SUM(GX5:HA5)),GD5),0)</f>
        <v>9.1053897544891349E-2</v>
      </c>
      <c r="HC5" s="65">
        <f>SUM(GX5:HB5)</f>
        <v>2</v>
      </c>
      <c r="HD5" s="64">
        <f>GD5-HB5</f>
        <v>0.60209643145422698</v>
      </c>
      <c r="HE5" s="64">
        <f>GE5</f>
        <v>0.1112565923883381</v>
      </c>
      <c r="HF5" s="64">
        <f>SUM(HD5:HE5)</f>
        <v>0.71335302384256505</v>
      </c>
      <c r="HG5" s="66" t="str">
        <f>IF(OR(GS5&lt;0, GU5&lt;0, HD5&lt;0, HF5&gt;1), "Fail", "Pass")</f>
        <v>Pass</v>
      </c>
      <c r="HH5" s="67">
        <f>(GT5+GX5)/(GX5+GT5+GU5+GY5)</f>
        <v>0.79110078150451502</v>
      </c>
      <c r="HI5" s="67">
        <f>HE5+HD5</f>
        <v>0.71335302384256505</v>
      </c>
      <c r="HJ5" s="67">
        <f>GQ5+GN5</f>
        <v>0.27656492363406066</v>
      </c>
      <c r="HK5" s="67">
        <f>GL5</f>
        <v>6.2369370287898596</v>
      </c>
      <c r="HL5" s="66" t="str">
        <f>IF(HI5&gt;0.5,IF(HH5&gt;=0.5,IF(HJ5&gt;=0.5,"Kaer",IF(HK5&gt;=6.5,"edenite",IF(HK5&gt;=5.5,IF(GP5&gt;GS5,"Pargasite","MgHst"),"Magnesiosadanagaite"))),IF(HJ5&gt;=0.5,"Ferrokaersutite",IF(HK5&gt;=6.5,"Ferro-edenite",IF(HK5&gt;=5.5,IF(GQ5&gt;(GT5+GX5),"Ferropargasite","Hastingsite"),"Sadanagaite")))),IF(HH5&gt;=0.5,IF(HK5&gt;=7.5,IF(HH5&gt;=0.9,"Tremolite","Actinolite"),IF(HK5&gt;=6.5,"Mghbl","Tsch")),IF(HK5&gt;=6.5,"Ferroactinolite",IF(HK5&gt;=6.5,"Ferrohornblende","Ferrotschermakite"))))</f>
        <v>Pargasite</v>
      </c>
      <c r="HM5" s="68">
        <f t="shared" ref="HM5:HM6" si="7">-164.73*(LN(GL5)^2)+757.99*LN(GL5)-772.44</f>
        <v>63.093228003047329</v>
      </c>
      <c r="HO5" s="69">
        <f>majors_params!$E$6+majors_params!$F$6*majors_calc!$P5 +majors_params!$G$6*majors_calc!$GL5+majors_params!$H$6*(majors_calc!$HM5)+majors_params!$I$6*LN(majors_calc!$GL5)+majors_params!$J$6*majors_calc!$GP5+majors_params!$K$6*(majors_calc!$GT5+majors_calc!$GX5) + majors_params!$L$6*majors_calc!$GS5+majors_params!$M$6*(majors_calc!$GU5+majors_calc!$GY5)+majors_params!$N$6*(majors_calc!$GS5+majors_calc!$GU5+majors_calc!$GY5)+majors_params!$O$6*(majors_calc!$GN5+majors_calc!$GQ5)+majors_params!$P$6*majors_calc!$HA5+majors_params!$Q$6*majors_calc!$HD5</f>
        <v>60.272267625029208</v>
      </c>
      <c r="HP5" s="69">
        <f>majors_params!$E$8+majors_params!$F$8*majors_calc!$P5 +majors_params!$G$8*majors_calc!$GL5+majors_params!$H$8*(majors_calc!$HM5)+majors_params!$I$8*LN(majors_calc!$GL5)+majors_params!$J$8*majors_calc!$GP5+majors_params!$K$8*(majors_calc!$GT5+majors_calc!$GX5) + majors_params!$L$8*majors_calc!$GS5+majors_params!$M$8*(majors_calc!$GU5+majors_calc!$GY5)+majors_params!$N$8*(majors_calc!$GS5+majors_calc!$GU5+majors_calc!$GY5)+majors_params!$O$8*(majors_calc!$GN5+majors_calc!$GQ5)+majors_params!$P$8*majors_calc!$HA5+majors_params!$Q$8*majors_calc!$HD5</f>
        <v>58.97956484555209</v>
      </c>
      <c r="HQ5" s="69">
        <f>majors_params!$E$10+majors_params!$F$10*majors_calc!$P5 +majors_params!$G$10*majors_calc!$GL5+majors_params!$H$10*(majors_calc!$HM5)+majors_params!$I$10*LN(majors_calc!$GL5)+majors_params!$J$10*majors_calc!$GP5+majors_params!$K$10*(majors_calc!$GT5+majors_calc!$GX5) + majors_params!$L$10*majors_calc!$GS5+majors_params!$M$10*(majors_calc!$GU5+majors_calc!$GY5)+majors_params!$N$10*(majors_calc!$GS5+majors_calc!$GU5+majors_calc!$GY5)+majors_params!$O$10*(majors_calc!$GN5+majors_calc!$GQ5)+majors_params!$P$10*majors_calc!$HA5+majors_params!$Q$10*majors_calc!$HD5</f>
        <v>59.694669169311624</v>
      </c>
      <c r="HR5" s="69">
        <f>majors_params!$E$12+majors_params!$F$12*majors_calc!$P5 +majors_params!$G$12*majors_calc!$GL5+majors_params!$H$12*(majors_calc!$HM5)+majors_params!$I$12*LN(majors_calc!$GL5)+majors_params!$J$12*majors_calc!$GP5+majors_params!$K$12*(majors_calc!$GT5+majors_calc!$GX5) + majors_params!$L$12*majors_calc!$GS5+majors_params!$M$12*(majors_calc!$GU5+majors_calc!$GY5)+majors_params!$N$12*(majors_calc!$GS5+majors_calc!$GU5+majors_calc!$GY5)+majors_params!$O$12*(majors_calc!$GN5+majors_calc!$GQ5)+majors_params!$P$12*majors_calc!$HA5+majors_params!$Q$12*majors_calc!$HD5</f>
        <v>59.956260681146773</v>
      </c>
      <c r="HS5" s="69">
        <f>majors_params!$E$14+majors_params!$F$14*majors_calc!$P5 +majors_params!$G$14*majors_calc!$GL5+majors_params!$H$14*(majors_calc!$HM5)+majors_params!$I$14*LN(majors_calc!$GL5)+majors_params!$J$14*majors_calc!$GP5+majors_params!$K$14*(majors_calc!$GT5+majors_calc!$GX5) + majors_params!$L$14*majors_calc!$GS5+majors_params!$M$14*(majors_calc!$GU5+majors_calc!$GY5)+majors_params!$N$14*(majors_calc!$GS5+majors_calc!$GU5+majors_calc!$GY5)+majors_params!$O$14*(majors_calc!$GN5+majors_calc!$GQ5)+majors_params!$P$14*majors_calc!$HA5+majors_params!$Q$14*majors_calc!$HD5</f>
        <v>58.507199081812644</v>
      </c>
      <c r="HT5" s="69">
        <f>EXP(majors_params!$E$16+majors_params!$F$16*majors_calc!$P5 +majors_params!$G$16*majors_calc!$GL5+majors_params!$H$16*(majors_calc!$HM5)+majors_params!$I$16*LN(majors_calc!$GL5)+majors_params!$J$16*majors_calc!$GP5+majors_params!$K$16*(majors_calc!$GT5+majors_calc!$GX5) + majors_params!$L$16*majors_calc!$GS5+majors_params!$M$16*(majors_calc!$GU5+majors_calc!$GY5)+majors_params!$N$16*(majors_calc!$GS5+majors_calc!$GU5+majors_calc!$GY5)+majors_params!$O$16*(majors_calc!$GN5+majors_calc!$GQ5)+majors_params!$P$16*majors_calc!$HA5+majors_params!$Q$16*majors_calc!$HD5)</f>
        <v>0.82546236076710255</v>
      </c>
      <c r="HU5" s="70">
        <f>EXP(majors_params!$E$18+majors_params!$F$18*majors_calc!$P5 +majors_params!$G$18*majors_calc!$GL5+majors_params!$H$18*(majors_calc!$HM5)+majors_params!$I$18*LN(majors_calc!$GL5)+majors_params!$J$18*majors_calc!$GP5+majors_params!$K$18*(majors_calc!$GT5+majors_calc!$GX5) + majors_params!$L$18*majors_calc!$GS5+majors_params!$M$18*(majors_calc!$GU5+majors_calc!$GY5)+majors_params!$N$18*(majors_calc!$GS5+majors_calc!$GU5+majors_calc!$GY5)+majors_params!$O$18*(majors_calc!$GN5+majors_calc!$GQ5)+majors_params!$P$18*majors_calc!$HA5+majors_params!$Q$18*majors_calc!$HD5)</f>
        <v>0.88045319478489337</v>
      </c>
      <c r="HV5" s="69">
        <f>EXP(majors_params!$E$20+majors_params!$F$20*majors_calc!$P5 +majors_params!$G$20*majors_calc!$GL5+majors_params!$H$20*(majors_calc!$HM5)+majors_params!$I$20*LN(majors_calc!$GL5)+majors_params!$J$20*majors_calc!$GP5+majors_params!$K$20*(majors_calc!$GT5+majors_calc!$GX5) + majors_params!$L$20*majors_calc!$GS5+majors_params!$M$20*(majors_calc!$GU5+majors_calc!$GY5)+majors_params!$N$20*(majors_calc!$GS5+majors_calc!$GU5+majors_calc!$GY5)+majors_params!$O$20*(majors_calc!$GN5+majors_calc!$GQ5)+majors_params!$P$20*majors_calc!$HA5+majors_params!$Q$20*majors_calc!$HD5)</f>
        <v>0.81373497279835727</v>
      </c>
      <c r="HW5" s="70">
        <f>EXP(majors_params!$E$22+majors_params!$F$22*majors_calc!$P5 +majors_params!$G$22*majors_calc!$GL5+majors_params!$H$22*(majors_calc!$HM5)+majors_params!$I$22*LN(majors_calc!$GL5)+majors_params!$J$22*majors_calc!$GP5+majors_params!$K$22*(majors_calc!$GT5+majors_calc!$GX5) + majors_params!$L$22*majors_calc!$GS5+majors_params!$M$22*(majors_calc!$GU5+majors_calc!$GY5)+majors_params!$N$22*(majors_calc!$GS5+majors_calc!$GU5+majors_calc!$GY5)+majors_params!$O$22*(majors_calc!$GN5+majors_calc!$GQ5)+majors_params!$P$22*majors_calc!$HA5+majors_params!$Q$22*majors_calc!$HD5)</f>
        <v>5.2362893652022402</v>
      </c>
      <c r="HX5" s="69">
        <f>EXP(majors_params!$E$24+majors_params!$F$24*majors_calc!$P5 +majors_params!$G$24*majors_calc!$GL5+majors_params!$H$24*(majors_calc!$HM5)+majors_params!$I$24*LN(majors_calc!$GL5)+majors_params!$J$24*majors_calc!$GP5+majors_params!$K$24*(majors_calc!$GT5+majors_calc!$GX5) + majors_params!$L$24*majors_calc!$GS5+majors_params!$M$24*(majors_calc!$GU5+majors_calc!$GY5)+majors_params!$N$24*(majors_calc!$GS5+majors_calc!$GU5+majors_calc!$GY5)+majors_params!$O$24*(majors_calc!$GN5+majors_calc!$GQ5)+majors_params!$P$24*majors_calc!$HA5+majors_params!$Q$24*majors_calc!$HD5)</f>
        <v>4.1018456663012683</v>
      </c>
      <c r="HY5" s="69">
        <f>EXP(majors_params!$E$26+majors_params!$F$26*majors_calc!$P5 +majors_params!$G$26*majors_calc!$GL5+majors_params!$H$26*(majors_calc!$HM5)+majors_params!$I$26*LN(majors_calc!$GL5)+majors_params!$J$26*majors_calc!$GP5+majors_params!$K$26*(majors_calc!$GT5+majors_calc!$GX5) + majors_params!$L$26*majors_calc!$GS5+majors_params!$M$26*(majors_calc!$GU5+majors_calc!$GY5)+majors_params!$N$26*(majors_calc!$GS5+majors_calc!$GU5+majors_calc!$GY5)+majors_params!$O$26*(majors_calc!$GN5+majors_calc!$GQ5)+majors_params!$P$26*majors_calc!$HA5+majors_params!$Q$26*majors_calc!$HD5)</f>
        <v>2.155331285089412</v>
      </c>
      <c r="HZ5" s="69">
        <f>EXP(majors_params!$E$28+majors_params!$F$28*majors_calc!$P5 +majors_params!$G$28*majors_calc!$GL5+majors_params!$H$28*(majors_calc!$HM5)+majors_params!$I$28*LN(majors_calc!$GL5)+majors_params!$J$28*majors_calc!$GP5+majors_params!$K$28*(majors_calc!$GT5+majors_calc!$GX5) + majors_params!$L$28*majors_calc!$GS5+majors_params!$M$28*(majors_calc!$GU5+majors_calc!$GY5)+majors_params!$N$28*(majors_calc!$GS5+majors_calc!$GU5+majors_calc!$GY5)+majors_params!$O$28*(majors_calc!$GN5+majors_calc!$GQ5)+majors_params!$P$28*majors_calc!$HA5+majors_params!$Q$28*majors_calc!$HD5)</f>
        <v>5.6272130019876672</v>
      </c>
      <c r="IA5" s="69">
        <f>majors_params!$E$30+majors_params!$F$30*majors_calc!$P5 +majors_params!$G$30*majors_calc!$GL5+majors_params!$H$30*(majors_calc!$HM5)+majors_params!$I$30*LN(majors_calc!$GL5)+majors_params!$J$30*majors_calc!$GP5+majors_params!$K$30*(majors_calc!$GT5+majors_calc!$GX5) + majors_params!$L$30*majors_calc!$GS5+majors_params!$M$30*(majors_calc!$GU5+majors_calc!$GY5)+majors_params!$N$30*(majors_calc!$GS5+majors_calc!$GU5+majors_calc!$GY5)+majors_params!$O$30*(majors_calc!$GN5+majors_calc!$GQ5)+majors_params!$P$30*majors_calc!$HA5+majors_params!$Q$30*majors_calc!$HD5</f>
        <v>2.0074627986528406</v>
      </c>
      <c r="IB5" s="69">
        <f>(majors_params!$E$32+majors_params!$F$32*majors_calc!$P5 +majors_params!$G$32*majors_calc!$GL5+majors_params!$H$32*(majors_calc!$HM5)+majors_params!$I$32*LN(majors_calc!$GL5)+majors_params!$J$32*majors_calc!$GP5+majors_params!$K$32*(majors_calc!$GT5+majors_calc!$GX5) + majors_params!$L$32*majors_calc!$GS5+majors_params!$M$32*(majors_calc!$GU5+majors_calc!$GY5)+majors_params!$N$32*(majors_calc!$GS5+majors_calc!$GU5+majors_calc!$GY5)+majors_params!$O$32*(majors_calc!$GN5+majors_calc!$GQ5)+majors_params!$P$32*majors_calc!$HA5+majors_params!$Q$32*majors_calc!$HD5)</f>
        <v>17.77696818587351</v>
      </c>
    </row>
    <row r="6" spans="1:236" x14ac:dyDescent="0.3">
      <c r="B6" s="53">
        <v>41.895099999999999</v>
      </c>
      <c r="C6" s="53">
        <v>2.2469000000000001</v>
      </c>
      <c r="D6" s="53">
        <v>12.689399999999999</v>
      </c>
      <c r="F6" s="53">
        <v>11.580299999999999</v>
      </c>
      <c r="G6" s="53">
        <v>13.8954</v>
      </c>
      <c r="H6" s="53">
        <v>11.9529</v>
      </c>
      <c r="I6" s="53">
        <v>0.2404</v>
      </c>
      <c r="J6" s="53">
        <v>2.5882000000000001</v>
      </c>
      <c r="K6" s="53">
        <v>0.69289999999999996</v>
      </c>
      <c r="L6" s="53">
        <v>0.17949999999999999</v>
      </c>
      <c r="M6" s="53">
        <v>2.4799999999999999E-2</v>
      </c>
      <c r="O6" s="53">
        <f t="shared" ref="O6" si="8">SUM(B6:N6)</f>
        <v>97.985799999999983</v>
      </c>
      <c r="P6" s="9">
        <v>1000</v>
      </c>
      <c r="Q6" s="54">
        <f t="shared" si="0"/>
        <v>0.69732190412782957</v>
      </c>
      <c r="R6" s="55">
        <f t="shared" si="0"/>
        <v>2.8131964442218604E-2</v>
      </c>
      <c r="S6" s="55">
        <f t="shared" si="0"/>
        <v>0.12445322338301235</v>
      </c>
      <c r="T6" s="55">
        <f t="shared" si="0"/>
        <v>0</v>
      </c>
      <c r="U6" s="55">
        <f t="shared" si="0"/>
        <v>0.16119571269487748</v>
      </c>
      <c r="V6" s="55">
        <f t="shared" si="0"/>
        <v>0.34471347060282809</v>
      </c>
      <c r="W6" s="55">
        <f t="shared" si="0"/>
        <v>0.2131401569186876</v>
      </c>
      <c r="X6" s="55">
        <f t="shared" si="0"/>
        <v>3.3887792500704823E-3</v>
      </c>
      <c r="Y6" s="55">
        <f t="shared" si="0"/>
        <v>4.1759305571241877E-2</v>
      </c>
      <c r="Z6" s="55">
        <f t="shared" si="0"/>
        <v>7.3553608468484143E-3</v>
      </c>
      <c r="AA6" s="55">
        <f t="shared" si="0"/>
        <v>9.4473684210526314E-3</v>
      </c>
      <c r="AB6" s="56">
        <f t="shared" si="0"/>
        <v>6.9957686882933696E-4</v>
      </c>
      <c r="AC6" s="57">
        <f t="shared" ref="AC6:AD6" si="9">Q6*2</f>
        <v>1.3946438082556591</v>
      </c>
      <c r="AD6" s="55">
        <f t="shared" si="9"/>
        <v>5.6263928884437209E-2</v>
      </c>
      <c r="AE6" s="55">
        <f t="shared" ref="AE6:AF6" si="10">S6*3</f>
        <v>0.37335967014903704</v>
      </c>
      <c r="AF6" s="55">
        <f t="shared" si="10"/>
        <v>0</v>
      </c>
      <c r="AG6" s="55">
        <f t="shared" si="1"/>
        <v>0.16119571269487748</v>
      </c>
      <c r="AH6" s="55">
        <f t="shared" si="1"/>
        <v>0.34471347060282809</v>
      </c>
      <c r="AI6" s="55">
        <f t="shared" si="1"/>
        <v>0.2131401569186876</v>
      </c>
      <c r="AJ6" s="55">
        <f t="shared" si="1"/>
        <v>3.3887792500704823E-3</v>
      </c>
      <c r="AK6" s="55">
        <f t="shared" si="1"/>
        <v>4.1759305571241877E-2</v>
      </c>
      <c r="AL6" s="55">
        <f t="shared" si="1"/>
        <v>7.3553608468484143E-3</v>
      </c>
      <c r="AM6" s="56">
        <f t="shared" ref="AM6" si="11">SUM(AC6:AL6)</f>
        <v>2.5958201931736871</v>
      </c>
      <c r="AN6" s="57">
        <f t="shared" ref="AN6:AW6" si="12">AC6*23/$AM6</f>
        <v>12.357099183615871</v>
      </c>
      <c r="AO6" s="55">
        <f t="shared" si="12"/>
        <v>0.49852080192037751</v>
      </c>
      <c r="AP6" s="55">
        <f t="shared" si="12"/>
        <v>3.3081152677716594</v>
      </c>
      <c r="AQ6" s="55">
        <f t="shared" si="12"/>
        <v>0</v>
      </c>
      <c r="AR6" s="55">
        <f t="shared" si="12"/>
        <v>1.428258167392302</v>
      </c>
      <c r="AS6" s="55">
        <f t="shared" si="12"/>
        <v>3.0542985391340447</v>
      </c>
      <c r="AT6" s="55">
        <f t="shared" si="12"/>
        <v>1.8885066161444277</v>
      </c>
      <c r="AU6" s="55">
        <f t="shared" si="12"/>
        <v>3.0025932827160953E-2</v>
      </c>
      <c r="AV6" s="55">
        <f t="shared" si="12"/>
        <v>0.3700040667933498</v>
      </c>
      <c r="AW6" s="55">
        <f t="shared" si="12"/>
        <v>6.5171424400809447E-2</v>
      </c>
      <c r="AX6" s="56">
        <f t="shared" ref="AX6" si="13">SUM(AN6:AW6)</f>
        <v>23.000000000000004</v>
      </c>
      <c r="AY6" s="57">
        <f t="shared" ref="AY6:AZ6" si="14">AN6/2</f>
        <v>6.1785495918079354</v>
      </c>
      <c r="AZ6" s="55">
        <f t="shared" si="14"/>
        <v>0.24926040096018875</v>
      </c>
      <c r="BA6" s="55">
        <f t="shared" ref="BA6:BB6" si="15">AP6*2/3</f>
        <v>2.2054101785144398</v>
      </c>
      <c r="BB6" s="55">
        <f t="shared" si="15"/>
        <v>0</v>
      </c>
      <c r="BC6" s="55">
        <f t="shared" si="3"/>
        <v>1.428258167392302</v>
      </c>
      <c r="BD6" s="55">
        <f t="shared" si="3"/>
        <v>3.0542985391340447</v>
      </c>
      <c r="BE6" s="55">
        <f t="shared" si="3"/>
        <v>1.8885066161444277</v>
      </c>
      <c r="BF6" s="55">
        <f t="shared" si="3"/>
        <v>3.0025932827160953E-2</v>
      </c>
      <c r="BG6" s="55">
        <f t="shared" ref="BG6:BH6" si="16">AV6*2</f>
        <v>0.74000813358669959</v>
      </c>
      <c r="BH6" s="55">
        <f t="shared" si="16"/>
        <v>0.13034284880161889</v>
      </c>
      <c r="BI6" s="55">
        <f>AA6*23/$AM6</f>
        <v>8.3707444088625141E-2</v>
      </c>
      <c r="BJ6" s="55">
        <f>AB6*23/$AM6</f>
        <v>6.1985294764975839E-3</v>
      </c>
      <c r="BK6" s="55">
        <f t="shared" ref="BK6" si="17">2-BI6-BJ6</f>
        <v>1.9100940264348771</v>
      </c>
      <c r="BL6" s="56">
        <f t="shared" ref="BL6" si="18">SUM(AY6:BH6)</f>
        <v>15.90466040916882</v>
      </c>
      <c r="BM6" s="58">
        <f t="shared" ref="BM6" si="19">AY6</f>
        <v>6.1785495918079354</v>
      </c>
      <c r="BN6" s="59">
        <f t="shared" ref="BN6" si="20">IF(BM6&lt;8,IF((8-BM6)&lt;BA6,(8-BM6),BA6),0)</f>
        <v>1.8214504081920646</v>
      </c>
      <c r="BO6" s="59">
        <f t="shared" ref="BO6" si="21">IF((BN6+BM6)&lt;8,8-(BN6+BM6),0)</f>
        <v>0</v>
      </c>
      <c r="BP6" s="59">
        <f t="shared" ref="BP6" si="22">SUM(BM6:BO6)</f>
        <v>8</v>
      </c>
      <c r="BQ6" s="59">
        <f t="shared" ref="BQ6" si="23">IF((BA6-BN6)&gt;0,(BA6-BN6),0)</f>
        <v>0.38395977032237516</v>
      </c>
      <c r="BR6" s="59">
        <f t="shared" ref="BR6" si="24">IF(BQ6+AZ6&lt;5,AZ6,5-BQ6)</f>
        <v>0.24926040096018875</v>
      </c>
      <c r="BS6" s="59">
        <f t="shared" ref="BS6" si="25">IF(BQ6+BR6+BB6&lt;5,BB6,5-BR6-BQ6)</f>
        <v>0</v>
      </c>
      <c r="BT6" s="59"/>
      <c r="BU6" s="59">
        <f t="shared" ref="BU6" si="26">IF(SUM(BQ6:BT6)&lt;5,IF((SUM(BQ6:BT6)+BD6)&lt;5,BD6,5-SUM(BQ6:BT6)),0)</f>
        <v>3.0542985391340447</v>
      </c>
      <c r="BV6" s="59">
        <f t="shared" ref="BV6" si="27">IF(SUM(BQ6:BU6)&lt;5,IF((SUM(BQ6:BU6)+BC6)&lt;5,BC6,5-SUM(BQ6:BU6)),0)</f>
        <v>1.3124812895833915</v>
      </c>
      <c r="BW6" s="59">
        <f t="shared" ref="BW6" si="28">IF(SUM(BQ6:BV6)&lt;5,IF((SUM(BQ6:BV6)+BF6)&lt;5,BF6,5-SUM(BQ6:BV6)),0)</f>
        <v>0</v>
      </c>
      <c r="BX6" s="59">
        <f t="shared" ref="BX6" si="29">SUM(BQ6:BW6)</f>
        <v>5</v>
      </c>
      <c r="BY6" s="59">
        <f t="shared" ref="BY6" si="30">IF((BD6-BU6)&gt;0,(BD6-BU6),0)</f>
        <v>0</v>
      </c>
      <c r="BZ6" s="59">
        <f t="shared" ref="BZ6" si="31">IF((BC6-BV6)&gt;0,(BC6-BV6),0)</f>
        <v>0.11577687780891055</v>
      </c>
      <c r="CA6" s="59">
        <f t="shared" ref="CA6" si="32">IF((BF6-BW6)&gt;0,(BF6-BW6),0)</f>
        <v>3.0025932827160953E-2</v>
      </c>
      <c r="CB6" s="59">
        <f t="shared" ref="CB6" si="33">BE6</f>
        <v>1.8885066161444277</v>
      </c>
      <c r="CC6" s="60">
        <f t="shared" ref="CC6" si="34">IF((SUM(BY6:CB6)&lt;2),IF((2-(BY6+BZ6+CA6+CB6))&lt;BE6,(2-SUM(BY6:CB6)),BE6),0)</f>
        <v>0</v>
      </c>
      <c r="CD6" s="59">
        <f t="shared" ref="CD6" si="35">SUM(BY6:CC6)</f>
        <v>2.0343094267804993</v>
      </c>
      <c r="CE6" s="59">
        <f t="shared" ref="CE6" si="36">BG6-CC6</f>
        <v>0.74000813358669959</v>
      </c>
      <c r="CF6" s="59">
        <f t="shared" ref="CF6" si="37">BH6</f>
        <v>0.13034284880161889</v>
      </c>
      <c r="CG6" s="61">
        <f t="shared" ref="CG6" si="38">SUM(CE6:CF6)</f>
        <v>0.87035098238831843</v>
      </c>
      <c r="CH6" s="9"/>
      <c r="CI6" s="9">
        <f t="shared" ref="CI6" si="39">8/AY6</f>
        <v>1.2948022640470676</v>
      </c>
      <c r="CJ6" s="9">
        <f t="shared" ref="CJ6" si="40">16/SUM(AY6:BH6)</f>
        <v>1.0059944436648405</v>
      </c>
      <c r="CK6" s="9">
        <f t="shared" ref="CK6" si="41">15/SUM(AY6:BF6)</f>
        <v>0.99771792466108311</v>
      </c>
      <c r="CL6" s="9"/>
      <c r="CM6" s="9">
        <f t="shared" ref="CM6" si="42">IF(MIN(CI6:CK6)&lt;1,MIN(CI6:CK6),1)</f>
        <v>0.99771792466108311</v>
      </c>
      <c r="CN6" s="9">
        <f t="shared" ref="CN6:CZ6" si="43">$CM6*AY6</f>
        <v>6.1644496761541951</v>
      </c>
      <c r="CO6" s="9">
        <f t="shared" si="43"/>
        <v>0.24869156994618896</v>
      </c>
      <c r="CP6" s="9">
        <f t="shared" si="43"/>
        <v>2.2003772663338559</v>
      </c>
      <c r="CQ6" s="9">
        <f t="shared" si="43"/>
        <v>0</v>
      </c>
      <c r="CR6" s="9">
        <f t="shared" si="43"/>
        <v>1.4249987746508894</v>
      </c>
      <c r="CS6" s="9">
        <f t="shared" si="43"/>
        <v>3.0473283997601972</v>
      </c>
      <c r="CT6" s="9">
        <f t="shared" si="43"/>
        <v>1.8841969017683431</v>
      </c>
      <c r="CU6" s="9">
        <f t="shared" si="43"/>
        <v>2.9957411386328115E-2</v>
      </c>
      <c r="CV6" s="9">
        <f t="shared" si="43"/>
        <v>0.73831937927444347</v>
      </c>
      <c r="CW6" s="9">
        <f t="shared" si="43"/>
        <v>0.13004539660076456</v>
      </c>
      <c r="CX6" s="9">
        <f t="shared" si="43"/>
        <v>8.3516417394786727E-2</v>
      </c>
      <c r="CY6" s="9">
        <f t="shared" si="43"/>
        <v>6.1843839652417198E-3</v>
      </c>
      <c r="CZ6" s="9">
        <f t="shared" si="43"/>
        <v>1.9057350479621376</v>
      </c>
      <c r="DA6" s="9">
        <f t="shared" ref="DA6" si="44">CN6*2+CO6*2+CP6*3/2+CQ6*3/2+CR6+CS6+CT6+CU6+CV6/2+CW6/2</f>
        <v>22.94751226720491</v>
      </c>
      <c r="DB6" s="9">
        <f t="shared" ref="DB6" si="45">(23-DA6)*2</f>
        <v>0.10497546559017934</v>
      </c>
      <c r="DC6" s="9" t="str">
        <f t="shared" ref="DC6" si="46">IF(DB6&gt;BC6,"FAIL","")</f>
        <v/>
      </c>
      <c r="DD6" s="62">
        <f t="shared" ref="DD6" si="47">CN6</f>
        <v>6.1644496761541951</v>
      </c>
      <c r="DE6" s="62">
        <f t="shared" ref="DE6" si="48">IF(DD6&lt;8,IF((8-DD6)&lt;CP6,(8-DD6),CP6),0)</f>
        <v>1.8355503238458049</v>
      </c>
      <c r="DF6" s="62">
        <f t="shared" ref="DF6" si="49">IF((DE6+DD6)&lt;8,IF((8-DE6-DD6)&gt;CO6,CO6,(8-(DE6+DD6))),0)</f>
        <v>0</v>
      </c>
      <c r="DG6" s="62">
        <f t="shared" ref="DG6" si="50">SUM(DD6:DF6)</f>
        <v>8</v>
      </c>
      <c r="DH6" s="62">
        <f t="shared" ref="DH6" si="51">IF((CP6-DE6)&gt;0,(CP6-DE6),0)</f>
        <v>0.36482694248805103</v>
      </c>
      <c r="DI6" s="62">
        <f t="shared" ref="DI6" si="52">IF(DH6+CO6&lt;5,CO6,5-DH6)</f>
        <v>0.24869156994618896</v>
      </c>
      <c r="DJ6" s="62">
        <f t="shared" ref="DJ6" si="53">IF(DH6+DI6+CQ6&lt;5,CQ6,5-DI6-DH6)</f>
        <v>0</v>
      </c>
      <c r="DK6" s="62">
        <f t="shared" ref="DK6" si="54">DB6</f>
        <v>0.10497546559017934</v>
      </c>
      <c r="DL6" s="62">
        <f t="shared" ref="DL6" si="55">IF(SUM(DH6:DK6)&lt;5,IF((SUM(DH6:DK6)+CS6)&lt;5,CS6,5-SUM(DH6:DK6)),0)</f>
        <v>3.0473283997601972</v>
      </c>
      <c r="DM6" s="62">
        <f t="shared" ref="DM6" si="56">IF(SUM(DH6:DL6)&lt;5,IF((SUM(DH6:DL6)+CR6-DB6)&lt;5,CR6-DB6,5-SUM(DH6:DL6)),0)</f>
        <v>1.2341776222153835</v>
      </c>
      <c r="DN6" s="62">
        <f t="shared" ref="DN6" si="57">IF(SUM(DH6:DM6)&lt;5,IF((SUM(DH6:DM6)+CU6)&lt;5,CU6,5-SUM(DH6:DM6)),0)</f>
        <v>0</v>
      </c>
      <c r="DO6" s="62">
        <f t="shared" ref="DO6" si="58">SUM(DH6:DN6)</f>
        <v>5</v>
      </c>
      <c r="DP6" s="62">
        <f t="shared" ref="DP6" si="59">IF((CS6-DL6)&gt;0,(CS6-DL6),0)</f>
        <v>0</v>
      </c>
      <c r="DQ6" s="62">
        <f t="shared" ref="DQ6" si="60">IF((CR6-DM6-DK6)&gt;0,(CR6-DM6-DK6),0)</f>
        <v>8.5845686845326563E-2</v>
      </c>
      <c r="DR6" s="62">
        <f t="shared" ref="DR6" si="61">IF((CU6-DN6)&gt;0,(CU6-DN6),0)</f>
        <v>2.9957411386328115E-2</v>
      </c>
      <c r="DS6" s="62">
        <f t="shared" ref="DS6" si="62">CT6</f>
        <v>1.8841969017683431</v>
      </c>
      <c r="DT6" s="62">
        <f t="shared" ref="DT6" si="63">IF((SUM(DP6:DS6)&lt;2),IF((2-(DP6+DQ6+DR6+DS6))&lt;CV6,(2-SUM(DP6:DS6)),CV6),0)</f>
        <v>0</v>
      </c>
      <c r="DU6" s="62">
        <f t="shared" ref="DU6" si="64">SUM(DP6:DT6)</f>
        <v>1.9999999999999978</v>
      </c>
      <c r="DV6" s="62">
        <f t="shared" ref="DV6" si="65">CV6-DT6</f>
        <v>0.73831937927444347</v>
      </c>
      <c r="DW6" s="62">
        <f t="shared" ref="DW6" si="66">CX6</f>
        <v>8.3516417394786727E-2</v>
      </c>
      <c r="DX6" s="62">
        <f t="shared" ref="DX6" si="67">SUM(DV6:DW6)</f>
        <v>0.82183579666923023</v>
      </c>
      <c r="DY6" s="9"/>
      <c r="DZ6" s="9">
        <f t="shared" ref="DZ6" si="68">8/(AY6+BA6)</f>
        <v>0.95420305191807808</v>
      </c>
      <c r="EA6" s="9">
        <f t="shared" ref="EA6" si="69">15/SUM(AY6:BG6)</f>
        <v>0.95091276960769033</v>
      </c>
      <c r="EB6" s="9">
        <f t="shared" ref="EB6" si="70">13/(SUM(AY6:BF6)-BE6)</f>
        <v>0.98890879372402374</v>
      </c>
      <c r="EC6" s="9">
        <f t="shared" ref="EC6" si="71">23/(23+(0.5*BC6))</f>
        <v>0.96988592407607643</v>
      </c>
      <c r="ED6" s="9"/>
      <c r="EE6" s="9">
        <f t="shared" ref="EE6" si="72">MAX(DZ6:EC6)</f>
        <v>0.98890879372402374</v>
      </c>
      <c r="EF6" s="9">
        <f t="shared" ref="EF6:ER6" si="73">$EE6*AY6</f>
        <v>6.1100220237988445</v>
      </c>
      <c r="EG6" s="9">
        <f t="shared" si="73"/>
        <v>0.24649580243670674</v>
      </c>
      <c r="EH6" s="9">
        <f t="shared" si="73"/>
        <v>2.1809495193013984</v>
      </c>
      <c r="EI6" s="9">
        <f t="shared" si="73"/>
        <v>0</v>
      </c>
      <c r="EJ6" s="9">
        <f t="shared" si="73"/>
        <v>1.4124170614424061</v>
      </c>
      <c r="EK6" s="9">
        <f t="shared" si="73"/>
        <v>3.0204226840080959</v>
      </c>
      <c r="EL6" s="9">
        <f t="shared" si="73"/>
        <v>1.867560799711224</v>
      </c>
      <c r="EM6" s="9">
        <f t="shared" si="73"/>
        <v>2.9692909012546304E-2</v>
      </c>
      <c r="EN6" s="9">
        <f t="shared" si="73"/>
        <v>0.73180055073118933</v>
      </c>
      <c r="EO6" s="9">
        <f t="shared" si="73"/>
        <v>0.12889718937896175</v>
      </c>
      <c r="EP6" s="9">
        <f t="shared" si="73"/>
        <v>8.2779027559403445E-2</v>
      </c>
      <c r="EQ6" s="9">
        <f t="shared" si="73"/>
        <v>6.1297803074660297E-3</v>
      </c>
      <c r="ER6" s="9">
        <f t="shared" si="73"/>
        <v>1.8889087795811779</v>
      </c>
      <c r="ES6" s="9">
        <f t="shared" ref="ES6" si="74">EF6*2+EG6*2+EH6*3/2+EI6*3/2+EJ6+EK6+EL6+EM6+EN6/2+EO6/2</f>
        <v>22.744902255652544</v>
      </c>
      <c r="ET6" s="9">
        <f t="shared" ref="ET6" si="75">(23-ES6)*2</f>
        <v>0.5101954886949116</v>
      </c>
      <c r="EU6" s="9" t="str">
        <f t="shared" ref="EU6" si="76">IF(ET6&gt;BC6,"FAIL","")</f>
        <v/>
      </c>
      <c r="EV6" s="63">
        <f t="shared" ref="EV6" si="77">EF6</f>
        <v>6.1100220237988445</v>
      </c>
      <c r="EW6" s="63">
        <f t="shared" ref="EW6" si="78">IF(EV6&lt;8,IF((8-EV6)&lt;EH6,(8-EV6),EH6),0)</f>
        <v>1.8899779762011555</v>
      </c>
      <c r="EX6" s="63">
        <f t="shared" ref="EX6" si="79">IF((EW6+EV6)&lt;8,IF((8-EW6-EV6)&gt;EG6,EG6,(8-(EW6+EV6))),0)</f>
        <v>0</v>
      </c>
      <c r="EY6" s="63">
        <f t="shared" ref="EY6" si="80">SUM(EV6:EX6)</f>
        <v>8</v>
      </c>
      <c r="EZ6" s="63">
        <f t="shared" ref="EZ6" si="81">IF((EH6-EW6)&gt;0,(EH6-EW6),0)</f>
        <v>0.29097154310024287</v>
      </c>
      <c r="FA6" s="63">
        <f t="shared" ref="FA6" si="82">IF(EZ6+EG6&lt;5,EG6,5-EZ6)</f>
        <v>0.24649580243670674</v>
      </c>
      <c r="FB6" s="63">
        <f t="shared" ref="FB6" si="83">IF(EZ6+FA6+EI6&lt;5,EI6,5-FA6-EZ6)</f>
        <v>0</v>
      </c>
      <c r="FC6" s="63">
        <f t="shared" ref="FC6" si="84">ET6</f>
        <v>0.5101954886949116</v>
      </c>
      <c r="FD6" s="63">
        <f t="shared" ref="FD6" si="85">IF(SUM(EZ6:FC6)&lt;5,IF((SUM(EZ6:FC6)+EK6)&lt;5,EK6,5-SUM(EZ6:FC6)),0)</f>
        <v>3.0204226840080959</v>
      </c>
      <c r="FE6" s="63">
        <f t="shared" ref="FE6" si="86">IF(SUM(EZ6:FD6)&lt;5,IF((SUM(EZ6:FD6)+(EJ6-ET6))&lt;5,EJ6-ET6,5-SUM(EZ6:FD6)),0)</f>
        <v>0.90222157274749448</v>
      </c>
      <c r="FF6" s="63">
        <f t="shared" ref="FF6" si="87">IF(SUM(EZ6:FE6)&lt;5,IF((SUM(EZ6:FE6)+EM6)&lt;5,EM6,5-SUM(EZ6:FE6)),0)</f>
        <v>2.969290901254773E-2</v>
      </c>
      <c r="FG6" s="63">
        <f t="shared" ref="FG6" si="88">SUM(EZ6:FF6)</f>
        <v>5</v>
      </c>
      <c r="FH6" s="63">
        <f t="shared" ref="FH6" si="89">IF((EK6-FD6)&gt;0,(EK6-FD6),0)</f>
        <v>0</v>
      </c>
      <c r="FI6" s="63">
        <f t="shared" ref="FI6" si="90">IF((EJ6-FE6-FC6)&gt;0,(EJ6-FE6-FC6),0)</f>
        <v>0</v>
      </c>
      <c r="FJ6" s="63">
        <f t="shared" ref="FJ6" si="91">IF((EM6-FF6)&gt;0,(EM6-FF6),0)</f>
        <v>0</v>
      </c>
      <c r="FK6" s="63">
        <f t="shared" ref="FK6" si="92">EL6</f>
        <v>1.867560799711224</v>
      </c>
      <c r="FL6" s="63">
        <f t="shared" ref="FL6" si="93">IF((SUM(FH6:FK6)&lt;2),IF((2-(FH6+FI6+FJ6+FK6))&lt;EN6,(2-SUM(FH6:FK6)),EN6),0)</f>
        <v>0.13243920028877598</v>
      </c>
      <c r="FM6" s="63">
        <f t="shared" ref="FM6" si="94">SUM(FH6:FL6)</f>
        <v>2</v>
      </c>
      <c r="FN6" s="63">
        <f t="shared" ref="FN6" si="95">EN6-FL6</f>
        <v>0.59936135044241334</v>
      </c>
      <c r="FO6" s="63">
        <f t="shared" ref="FO6" si="96">EO6</f>
        <v>0.12889718937896175</v>
      </c>
      <c r="FP6" s="63">
        <f t="shared" ref="FP6" si="97">SUM(FN6:FO6)</f>
        <v>0.72825853982137512</v>
      </c>
      <c r="FQ6" s="63" t="str">
        <f t="shared" ref="FQ6" si="98">IF(OR(FC6&lt;0, FE6&lt;0, FN6&lt;0, FP6&gt;1), "Fail", "Pass")</f>
        <v>Pass</v>
      </c>
      <c r="FR6" s="63" t="str">
        <f t="shared" ref="FR6" si="99">IF(FK6&lt;1.5,"Low-Ca",IF(FQ6="Fail","Invalid",IF(FA6&gt;0.5,"Kaersutite",IF(FP6&lt;=0.5,IF(EV6&gt;=6.5,"Mg-Hbl","Tsch"),IF(EZ6&lt;FC6,"Mg-Hst","Prg")))))</f>
        <v>Mg-Hst</v>
      </c>
      <c r="FS6" s="9">
        <f t="shared" ref="FS6" si="100">FD6/(FD6+FE6+FI6)</f>
        <v>0.76999658554463979</v>
      </c>
      <c r="FT6" s="9"/>
      <c r="FU6" s="9">
        <f t="shared" ref="FU6" si="101">AVERAGE(EE6,CM6)</f>
        <v>0.99331335919255337</v>
      </c>
      <c r="FV6" s="9">
        <f t="shared" ref="FV6:GH6" si="102">$FU6*AY6</f>
        <v>6.1372358499765198</v>
      </c>
      <c r="FW6" s="9">
        <f t="shared" si="102"/>
        <v>0.24759368619144784</v>
      </c>
      <c r="FX6" s="9">
        <f t="shared" si="102"/>
        <v>2.1906633928176271</v>
      </c>
      <c r="FY6" s="9">
        <f t="shared" si="102"/>
        <v>0</v>
      </c>
      <c r="FZ6" s="9">
        <f t="shared" si="102"/>
        <v>1.4187079180466478</v>
      </c>
      <c r="GA6" s="9">
        <f t="shared" si="102"/>
        <v>3.0338755418841465</v>
      </c>
      <c r="GB6" s="9">
        <f t="shared" si="102"/>
        <v>1.8758788507397834</v>
      </c>
      <c r="GC6" s="9">
        <f t="shared" si="102"/>
        <v>2.9825160199437206E-2</v>
      </c>
      <c r="GD6" s="9">
        <f t="shared" si="102"/>
        <v>0.73505996500281634</v>
      </c>
      <c r="GE6" s="9">
        <f t="shared" si="102"/>
        <v>0.12947129298986315</v>
      </c>
      <c r="GF6" s="9">
        <f t="shared" si="102"/>
        <v>8.3147722477095079E-2</v>
      </c>
      <c r="GG6" s="9">
        <f t="shared" si="102"/>
        <v>6.1570821363538747E-3</v>
      </c>
      <c r="GH6" s="9">
        <f t="shared" si="102"/>
        <v>1.8973219137716577</v>
      </c>
      <c r="GI6" s="9">
        <f t="shared" ref="GI6" si="103">FV6*2+FW6*2+FX6*3/2+FY6*3/2+FZ6+GA6+GB6+GC6+GD6/2+GE6/2</f>
        <v>22.846207261428731</v>
      </c>
      <c r="GJ6" s="9">
        <f t="shared" ref="GJ6" si="104">(23-GI6)*2</f>
        <v>0.30758547714253837</v>
      </c>
      <c r="GK6" s="9"/>
      <c r="GL6" s="64">
        <f t="shared" ref="GL6" si="105">FV6</f>
        <v>6.1372358499765198</v>
      </c>
      <c r="GM6" s="64">
        <f t="shared" ref="GM6" si="106">IF(GL6&lt;8,IF((8-GL6)&lt;FX6,(8-GL6),FX6),0)</f>
        <v>1.8627641500234802</v>
      </c>
      <c r="GN6" s="64">
        <f t="shared" ref="GN6" si="107">IF((GM6+GL6)&lt;8,IF((8-GM6-GL6)&gt;FW6,FW6,(8-(GM6+GL6))),0)</f>
        <v>0</v>
      </c>
      <c r="GO6" s="65">
        <f t="shared" ref="GO6" si="108">SUM(GL6:GN6)</f>
        <v>8</v>
      </c>
      <c r="GP6" s="64">
        <f t="shared" ref="GP6" si="109">IF((FX6-GM6)&gt;0,(FX6-GM6),0)</f>
        <v>0.32789924279414695</v>
      </c>
      <c r="GQ6" s="64">
        <f t="shared" ref="GQ6" si="110">IF(GP6+FW6&lt;5,FW6,5-GP6)</f>
        <v>0.24759368619144784</v>
      </c>
      <c r="GR6" s="64">
        <f t="shared" ref="GR6" si="111">IF(GP6+GQ6+FY6&lt;5,FY6,5-GQ6-GP6)</f>
        <v>0</v>
      </c>
      <c r="GS6" s="64">
        <f t="shared" ref="GS6" si="112">GJ6</f>
        <v>0.30758547714253837</v>
      </c>
      <c r="GT6" s="64">
        <f t="shared" ref="GT6" si="113">IF(SUM(GP6:GS6)&lt;5,IF((SUM(GP6:GS6)+GA6)&lt;5,GA6,5-SUM(GP6:GS6)),0)</f>
        <v>3.0338755418841465</v>
      </c>
      <c r="GU6" s="64">
        <f t="shared" ref="GU6" si="114">IF(SUM(GP6:GT6)&lt;5,IF((SUM(GP6:GT6)+(FZ6-GS6))&lt;5,FZ6-GS6,5-SUM(GP6:GT6)),0)</f>
        <v>1.0830460519877203</v>
      </c>
      <c r="GV6" s="64">
        <f t="shared" ref="GV6" si="115">IF(SUM(GP6:GU6)&lt;5,IF((SUM(GP6:GU6)+GC6)&lt;5,GC6,5-SUM(GP6:GU6)),0)</f>
        <v>0</v>
      </c>
      <c r="GW6" s="65">
        <f t="shared" ref="GW6" si="116">SUM(GP6:GV6)</f>
        <v>5</v>
      </c>
      <c r="GX6" s="64">
        <f t="shared" ref="GX6" si="117">IF((GA6-GT6)&gt;0,(GA6-GT6),0)</f>
        <v>0</v>
      </c>
      <c r="GY6" s="64">
        <f t="shared" ref="GY6" si="118">IF((FZ6-GU6-GS6)&gt;0,(FZ6-GU6-GS6),0)</f>
        <v>2.8076388916389083E-2</v>
      </c>
      <c r="GZ6" s="64">
        <f t="shared" ref="GZ6" si="119">IF((GC6-GV6)&gt;0,(GC6-GV6),0)</f>
        <v>2.9825160199437206E-2</v>
      </c>
      <c r="HA6" s="64">
        <f t="shared" ref="HA6" si="120">GB6</f>
        <v>1.8758788507397834</v>
      </c>
      <c r="HB6" s="64">
        <f t="shared" ref="HB6" si="121">IF((SUM(GX6:HA6)&lt;2),IF((2-(GX6+GY6+GZ6+HA6))&lt;GD6,(2-SUM(GX6:HA6)),GD6),0)</f>
        <v>6.6219600144390212E-2</v>
      </c>
      <c r="HC6" s="65">
        <f t="shared" ref="HC6" si="122">SUM(GX6:HB6)</f>
        <v>2</v>
      </c>
      <c r="HD6" s="64">
        <f t="shared" ref="HD6" si="123">GD6-HB6</f>
        <v>0.66884036485842613</v>
      </c>
      <c r="HE6" s="64">
        <f t="shared" ref="HE6" si="124">GE6</f>
        <v>0.12947129298986315</v>
      </c>
      <c r="HF6" s="64">
        <f t="shared" ref="HF6" si="125">SUM(HD6:HE6)</f>
        <v>0.79831165784828928</v>
      </c>
      <c r="HG6" s="66" t="str">
        <f t="shared" ref="HG6" si="126">IF(OR(GS6&lt;0, GU6&lt;0, HD6&lt;0, HF6&gt;1), "Fail", "Pass")</f>
        <v>Pass</v>
      </c>
      <c r="HH6" s="67">
        <f t="shared" ref="HH6" si="127">(GT6+GX6)/(GX6+GT6+GU6+GY6)</f>
        <v>0.73193655448857897</v>
      </c>
      <c r="HI6" s="67">
        <f t="shared" ref="HI6" si="128">HE6+HD6</f>
        <v>0.79831165784828928</v>
      </c>
      <c r="HJ6" s="67">
        <f t="shared" ref="HJ6" si="129">GQ6+GN6</f>
        <v>0.24759368619144784</v>
      </c>
      <c r="HK6" s="67">
        <f t="shared" ref="HK6" si="130">GL6</f>
        <v>6.1372358499765198</v>
      </c>
      <c r="HL6" s="66" t="str">
        <f t="shared" ref="HL6" si="131">IF(HI6&gt;0.5,IF(HH6&gt;=0.5,IF(HJ6&gt;=0.5,"Kaer",IF(HK6&gt;=6.5,"edenite",IF(HK6&gt;=5.5,IF(GP6&gt;GS6,"Pargasite","MgHst"),"Magnesiosadanagaite"))),IF(HJ6&gt;=0.5,"Ferrokaersutite",IF(HK6&gt;=6.5,"Ferro-edenite",IF(HK6&gt;=5.5,IF(GQ6&gt;(GT6+GX6),"Ferropargasite","Hastingsite"),"Sadanagaite")))),IF(HH6&gt;=0.5,IF(HK6&gt;=7.5,IF(HH6&gt;=0.9,"Tremolite","Actinolite"),IF(HK6&gt;=6.5,"Mghbl","Tsch")),IF(HK6&gt;=6.5,"Ferroactinolite",IF(HK6&gt;=6.5,"Ferrohornblende","Ferrotschermakite"))))</f>
        <v>Pargasite</v>
      </c>
      <c r="HM6" s="68">
        <f t="shared" si="7"/>
        <v>60.554001275330847</v>
      </c>
      <c r="HO6" s="69">
        <f>majors_params!$E$6+majors_params!$F$6*majors_calc!$P6 +majors_params!$G$6*majors_calc!$GL6+majors_params!$H$6*(majors_calc!$HM6)+majors_params!$I$6*LN(majors_calc!$GL6)+majors_params!$J$6*majors_calc!$GP6+majors_params!$K$6*(majors_calc!$GT6+majors_calc!$GX6) + majors_params!$L$6*majors_calc!$GS6+majors_params!$M$6*(majors_calc!$GU6+majors_calc!$GY6)+majors_params!$N$6*(majors_calc!$GS6+majors_calc!$GU6+majors_calc!$GY6)+majors_params!$O$6*(majors_calc!$GN6+majors_calc!$GQ6)+majors_params!$P$6*majors_calc!$HA6+majors_params!$Q$6*majors_calc!$HD6</f>
        <v>59.639678772047546</v>
      </c>
      <c r="HP6" s="69">
        <f>majors_params!$E$8+majors_params!$F$8*majors_calc!$P6 +majors_params!$G$8*majors_calc!$GL6+majors_params!$H$8*(majors_calc!$HM6)+majors_params!$I$8*LN(majors_calc!$GL6)+majors_params!$J$8*majors_calc!$GP6+majors_params!$K$8*(majors_calc!$GT6+majors_calc!$GX6) + majors_params!$L$8*majors_calc!$GS6+majors_params!$M$8*(majors_calc!$GU6+majors_calc!$GY6)+majors_params!$N$8*(majors_calc!$GS6+majors_calc!$GU6+majors_calc!$GY6)+majors_params!$O$8*(majors_calc!$GN6+majors_calc!$GQ6)+majors_params!$P$8*majors_calc!$HA6+majors_params!$Q$8*majors_calc!$HD6</f>
        <v>58.313371411016661</v>
      </c>
      <c r="HQ6" s="69">
        <f>majors_params!$E$10+majors_params!$F$10*majors_calc!$P6 +majors_params!$G$10*majors_calc!$GL6+majors_params!$H$10*(majors_calc!$HM6)+majors_params!$I$10*LN(majors_calc!$GL6)+majors_params!$J$10*majors_calc!$GP6+majors_params!$K$10*(majors_calc!$GT6+majors_calc!$GX6) + majors_params!$L$10*majors_calc!$GS6+majors_params!$M$10*(majors_calc!$GU6+majors_calc!$GY6)+majors_params!$N$10*(majors_calc!$GS6+majors_calc!$GU6+majors_calc!$GY6)+majors_params!$O$10*(majors_calc!$GN6+majors_calc!$GQ6)+majors_params!$P$10*majors_calc!$HA6+majors_params!$Q$10*majors_calc!$HD6</f>
        <v>59.313981371934055</v>
      </c>
      <c r="HR6" s="69">
        <f>majors_params!$E$12+majors_params!$F$12*majors_calc!$P6 +majors_params!$G$12*majors_calc!$GL6+majors_params!$H$12*(majors_calc!$HM6)+majors_params!$I$12*LN(majors_calc!$GL6)+majors_params!$J$12*majors_calc!$GP6+majors_params!$K$12*(majors_calc!$GT6+majors_calc!$GX6) + majors_params!$L$12*majors_calc!$GS6+majors_params!$M$12*(majors_calc!$GU6+majors_calc!$GY6)+majors_params!$N$12*(majors_calc!$GS6+majors_calc!$GU6+majors_calc!$GY6)+majors_params!$O$12*(majors_calc!$GN6+majors_calc!$GQ6)+majors_params!$P$12*majors_calc!$HA6+majors_params!$Q$12*majors_calc!$HD6</f>
        <v>59.488957434210803</v>
      </c>
      <c r="HS6" s="69">
        <f>majors_params!$E$14+majors_params!$F$14*majors_calc!$P6 +majors_params!$G$14*majors_calc!$GL6+majors_params!$H$14*(majors_calc!$HM6)+majors_params!$I$14*LN(majors_calc!$GL6)+majors_params!$J$14*majors_calc!$GP6+majors_params!$K$14*(majors_calc!$GT6+majors_calc!$GX6) + majors_params!$L$14*majors_calc!$GS6+majors_params!$M$14*(majors_calc!$GU6+majors_calc!$GY6)+majors_params!$N$14*(majors_calc!$GS6+majors_calc!$GU6+majors_calc!$GY6)+majors_params!$O$14*(majors_calc!$GN6+majors_calc!$GQ6)+majors_params!$P$14*majors_calc!$HA6+majors_params!$Q$14*majors_calc!$HD6</f>
        <v>58.138350779362895</v>
      </c>
      <c r="HT6" s="69">
        <f>EXP(majors_params!$E$16+majors_params!$F$16*majors_calc!$P6 +majors_params!$G$16*majors_calc!$GL6+majors_params!$H$16*(majors_calc!$HM6)+majors_params!$I$16*LN(majors_calc!$GL6)+majors_params!$J$16*majors_calc!$GP6+majors_params!$K$16*(majors_calc!$GT6+majors_calc!$GX6) + majors_params!$L$16*majors_calc!$GS6+majors_params!$M$16*(majors_calc!$GU6+majors_calc!$GY6)+majors_params!$N$16*(majors_calc!$GS6+majors_calc!$GU6+majors_calc!$GY6)+majors_params!$O$16*(majors_calc!$GN6+majors_calc!$GQ6)+majors_params!$P$16*majors_calc!$HA6+majors_params!$Q$16*majors_calc!$HD6)</f>
        <v>0.62294488120681824</v>
      </c>
      <c r="HU6" s="70">
        <f>EXP(majors_params!$E$18+majors_params!$F$18*majors_calc!$P6 +majors_params!$G$18*majors_calc!$GL6+majors_params!$H$18*(majors_calc!$HM6)+majors_params!$I$18*LN(majors_calc!$GL6)+majors_params!$J$18*majors_calc!$GP6+majors_params!$K$18*(majors_calc!$GT6+majors_calc!$GX6) + majors_params!$L$18*majors_calc!$GS6+majors_params!$M$18*(majors_calc!$GU6+majors_calc!$GY6)+majors_params!$N$18*(majors_calc!$GS6+majors_calc!$GU6+majors_calc!$GY6)+majors_params!$O$18*(majors_calc!$GN6+majors_calc!$GQ6)+majors_params!$P$18*majors_calc!$HA6+majors_params!$Q$18*majors_calc!$HD6)</f>
        <v>0.67999741868097907</v>
      </c>
      <c r="HV6" s="69">
        <f>EXP(majors_params!$E$20+majors_params!$F$20*majors_calc!$P6 +majors_params!$G$20*majors_calc!$GL6+majors_params!$H$20*(majors_calc!$HM6)+majors_params!$I$20*LN(majors_calc!$GL6)+majors_params!$J$20*majors_calc!$GP6+majors_params!$K$20*(majors_calc!$GT6+majors_calc!$GX6) + majors_params!$L$20*majors_calc!$GS6+majors_params!$M$20*(majors_calc!$GU6+majors_calc!$GY6)+majors_params!$N$20*(majors_calc!$GS6+majors_calc!$GU6+majors_calc!$GY6)+majors_params!$O$20*(majors_calc!$GN6+majors_calc!$GQ6)+majors_params!$P$20*majors_calc!$HA6+majors_params!$Q$20*majors_calc!$HD6)</f>
        <v>0.64061957070222486</v>
      </c>
      <c r="HW6" s="70">
        <f>EXP(majors_params!$E$22+majors_params!$F$22*majors_calc!$P6 +majors_params!$G$22*majors_calc!$GL6+majors_params!$H$22*(majors_calc!$HM6)+majors_params!$I$22*LN(majors_calc!$GL6)+majors_params!$J$22*majors_calc!$GP6+majors_params!$K$22*(majors_calc!$GT6+majors_calc!$GX6) + majors_params!$L$22*majors_calc!$GS6+majors_params!$M$22*(majors_calc!$GU6+majors_calc!$GY6)+majors_params!$N$22*(majors_calc!$GS6+majors_calc!$GU6+majors_calc!$GY6)+majors_params!$O$22*(majors_calc!$GN6+majors_calc!$GQ6)+majors_params!$P$22*majors_calc!$HA6+majors_params!$Q$22*majors_calc!$HD6)</f>
        <v>5.9735458830806012</v>
      </c>
      <c r="HX6" s="69">
        <f>EXP(majors_params!$E$24+majors_params!$F$24*majors_calc!$P6 +majors_params!$G$24*majors_calc!$GL6+majors_params!$H$24*(majors_calc!$HM6)+majors_params!$I$24*LN(majors_calc!$GL6)+majors_params!$J$24*majors_calc!$GP6+majors_params!$K$24*(majors_calc!$GT6+majors_calc!$GX6) + majors_params!$L$24*majors_calc!$GS6+majors_params!$M$24*(majors_calc!$GU6+majors_calc!$GY6)+majors_params!$N$24*(majors_calc!$GS6+majors_calc!$GU6+majors_calc!$GY6)+majors_params!$O$24*(majors_calc!$GN6+majors_calc!$GQ6)+majors_params!$P$24*majors_calc!$HA6+majors_params!$Q$24*majors_calc!$HD6)</f>
        <v>4.3748190173760646</v>
      </c>
      <c r="HY6" s="69">
        <f>EXP(majors_params!$E$26+majors_params!$F$26*majors_calc!$P6 +majors_params!$G$26*majors_calc!$GL6+majors_params!$H$26*(majors_calc!$HM6)+majors_params!$I$26*LN(majors_calc!$GL6)+majors_params!$J$26*majors_calc!$GP6+majors_params!$K$26*(majors_calc!$GT6+majors_calc!$GX6) + majors_params!$L$26*majors_calc!$GS6+majors_params!$M$26*(majors_calc!$GU6+majors_calc!$GY6)+majors_params!$N$26*(majors_calc!$GS6+majors_calc!$GU6+majors_calc!$GY6)+majors_params!$O$26*(majors_calc!$GN6+majors_calc!$GQ6)+majors_params!$P$26*majors_calc!$HA6+majors_params!$Q$26*majors_calc!$HD6)</f>
        <v>2.0140634462671314</v>
      </c>
      <c r="HZ6" s="69">
        <f>EXP(majors_params!$E$28+majors_params!$F$28*majors_calc!$P6 +majors_params!$G$28*majors_calc!$GL6+majors_params!$H$28*(majors_calc!$HM6)+majors_params!$I$28*LN(majors_calc!$GL6)+majors_params!$J$28*majors_calc!$GP6+majors_params!$K$28*(majors_calc!$GT6+majors_calc!$GX6) + majors_params!$L$28*majors_calc!$GS6+majors_params!$M$28*(majors_calc!$GU6+majors_calc!$GY6)+majors_params!$N$28*(majors_calc!$GS6+majors_calc!$GU6+majors_calc!$GY6)+majors_params!$O$28*(majors_calc!$GN6+majors_calc!$GQ6)+majors_params!$P$28*majors_calc!$HA6+majors_params!$Q$28*majors_calc!$HD6)</f>
        <v>5.3336897393080465</v>
      </c>
      <c r="IA6" s="69">
        <f>majors_params!$E$30+majors_params!$F$30*majors_calc!$P6 +majors_params!$G$30*majors_calc!$GL6+majors_params!$H$30*(majors_calc!$HM6)+majors_params!$I$30*LN(majors_calc!$GL6)+majors_params!$J$30*majors_calc!$GP6+majors_params!$K$30*(majors_calc!$GT6+majors_calc!$GX6) + majors_params!$L$30*majors_calc!$GS6+majors_params!$M$30*(majors_calc!$GU6+majors_calc!$GY6)+majors_params!$N$30*(majors_calc!$GS6+majors_calc!$GU6+majors_calc!$GY6)+majors_params!$O$30*(majors_calc!$GN6+majors_calc!$GQ6)+majors_params!$P$30*majors_calc!$HA6+majors_params!$Q$30*majors_calc!$HD6</f>
        <v>2.1813801653811877</v>
      </c>
      <c r="IB6" s="69">
        <f>(majors_params!$E$32+majors_params!$F$32*majors_calc!$P6 +majors_params!$G$32*majors_calc!$GL6+majors_params!$H$32*(majors_calc!$HM6)+majors_params!$I$32*LN(majors_calc!$GL6)+majors_params!$J$32*majors_calc!$GP6+majors_params!$K$32*(majors_calc!$GT6+majors_calc!$GX6) + majors_params!$L$32*majors_calc!$GS6+majors_params!$M$32*(majors_calc!$GU6+majors_calc!$GY6)+majors_params!$N$32*(majors_calc!$GS6+majors_calc!$GU6+majors_calc!$GY6)+majors_params!$O$32*(majors_calc!$GN6+majors_calc!$GQ6)+majors_params!$P$32*majors_calc!$HA6+majors_params!$Q$32*majors_calc!$HD6)</f>
        <v>18.432350040818545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workbookViewId="0">
      <selection activeCell="G31" sqref="G31"/>
    </sheetView>
  </sheetViews>
  <sheetFormatPr defaultColWidth="10.77734375" defaultRowHeight="16.3" x14ac:dyDescent="0.3"/>
  <cols>
    <col min="1" max="2" width="10.77734375" style="73"/>
    <col min="3" max="3" width="15.44140625" style="73" customWidth="1"/>
    <col min="4" max="16" width="10.77734375" style="73"/>
    <col min="17" max="17" width="11.6640625" style="73" bestFit="1" customWidth="1"/>
    <col min="18" max="18" width="10.77734375" style="73"/>
    <col min="19" max="19" width="10.77734375" style="5"/>
    <col min="20" max="16384" width="10.77734375" style="73"/>
  </cols>
  <sheetData>
    <row r="1" spans="1:24" x14ac:dyDescent="0.3">
      <c r="S1" s="73"/>
      <c r="T1" s="5"/>
    </row>
    <row r="2" spans="1:24" x14ac:dyDescent="0.3">
      <c r="A2" s="101" t="s">
        <v>219</v>
      </c>
      <c r="S2" s="73"/>
      <c r="T2" s="5"/>
    </row>
    <row r="3" spans="1:24" x14ac:dyDescent="0.3">
      <c r="A3" s="74" t="s">
        <v>218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4" ht="17" thickBot="1" x14ac:dyDescent="0.35">
      <c r="A4" s="106" t="s">
        <v>113</v>
      </c>
      <c r="B4" s="111" t="s">
        <v>114</v>
      </c>
      <c r="C4" s="111" t="s">
        <v>115</v>
      </c>
      <c r="D4" s="111" t="s">
        <v>116</v>
      </c>
      <c r="E4" s="113" t="s">
        <v>117</v>
      </c>
      <c r="F4" s="115" t="s">
        <v>118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06" t="s">
        <v>119</v>
      </c>
      <c r="S4" s="108" t="s">
        <v>120</v>
      </c>
      <c r="T4" s="108" t="s">
        <v>121</v>
      </c>
    </row>
    <row r="5" spans="1:24" ht="17" thickBot="1" x14ac:dyDescent="0.35">
      <c r="A5" s="107"/>
      <c r="B5" s="112"/>
      <c r="C5" s="112"/>
      <c r="D5" s="112"/>
      <c r="E5" s="114"/>
      <c r="F5" s="75" t="s">
        <v>122</v>
      </c>
      <c r="G5" s="75" t="s">
        <v>65</v>
      </c>
      <c r="H5" s="75" t="s">
        <v>50</v>
      </c>
      <c r="I5" s="75" t="s">
        <v>123</v>
      </c>
      <c r="J5" s="75" t="s">
        <v>124</v>
      </c>
      <c r="K5" s="75" t="s">
        <v>3</v>
      </c>
      <c r="L5" s="75" t="s">
        <v>2</v>
      </c>
      <c r="M5" s="75" t="s">
        <v>4</v>
      </c>
      <c r="N5" s="75" t="s">
        <v>125</v>
      </c>
      <c r="O5" s="75" t="s">
        <v>1</v>
      </c>
      <c r="P5" s="75" t="s">
        <v>5</v>
      </c>
      <c r="Q5" s="75" t="s">
        <v>126</v>
      </c>
      <c r="R5" s="107"/>
      <c r="S5" s="109"/>
      <c r="T5" s="109"/>
    </row>
    <row r="6" spans="1:24" ht="17" x14ac:dyDescent="0.35">
      <c r="A6" s="76">
        <v>1</v>
      </c>
      <c r="B6" s="76" t="s">
        <v>127</v>
      </c>
      <c r="C6" s="76" t="s">
        <v>50</v>
      </c>
      <c r="D6" s="76" t="s">
        <v>128</v>
      </c>
      <c r="E6" s="77">
        <v>-138.21090000000001</v>
      </c>
      <c r="F6" s="78"/>
      <c r="G6" s="77"/>
      <c r="H6" s="77">
        <v>1.5532999999999999</v>
      </c>
      <c r="I6" s="77"/>
      <c r="J6" s="77">
        <v>19.958400000000001</v>
      </c>
      <c r="K6" s="78"/>
      <c r="L6" s="77">
        <v>30.272200000000002</v>
      </c>
      <c r="M6" s="77">
        <v>7.3331</v>
      </c>
      <c r="N6" s="77"/>
      <c r="O6" s="77">
        <v>44.983600000000003</v>
      </c>
      <c r="P6" s="77">
        <v>36.596600000000002</v>
      </c>
      <c r="Q6" s="77"/>
      <c r="R6" s="79">
        <v>0.83860000000000001</v>
      </c>
      <c r="S6" s="80">
        <v>3.7290000000000001</v>
      </c>
      <c r="T6" s="80">
        <v>5.31</v>
      </c>
      <c r="V6" s="81"/>
    </row>
    <row r="7" spans="1:24" s="86" customFormat="1" x14ac:dyDescent="0.3">
      <c r="A7" s="82"/>
      <c r="B7" s="82"/>
      <c r="C7" s="82"/>
      <c r="D7" s="82"/>
      <c r="E7" s="83" t="s">
        <v>129</v>
      </c>
      <c r="F7" s="83"/>
      <c r="G7" s="83"/>
      <c r="H7" s="83" t="s">
        <v>130</v>
      </c>
      <c r="I7" s="83"/>
      <c r="J7" s="83" t="s">
        <v>131</v>
      </c>
      <c r="K7" s="83"/>
      <c r="L7" s="83" t="s">
        <v>132</v>
      </c>
      <c r="M7" s="83" t="s">
        <v>133</v>
      </c>
      <c r="N7" s="83"/>
      <c r="O7" s="83" t="s">
        <v>134</v>
      </c>
      <c r="P7" s="83" t="s">
        <v>135</v>
      </c>
      <c r="Q7" s="83"/>
      <c r="R7" s="84"/>
      <c r="S7" s="85"/>
      <c r="T7" s="85"/>
      <c r="V7" s="87"/>
    </row>
    <row r="8" spans="1:24" ht="17" x14ac:dyDescent="0.35">
      <c r="A8" s="76" t="s">
        <v>136</v>
      </c>
      <c r="B8" s="76" t="s">
        <v>127</v>
      </c>
      <c r="C8" s="76" t="s">
        <v>137</v>
      </c>
      <c r="D8" s="76" t="s">
        <v>128</v>
      </c>
      <c r="E8" s="77">
        <v>61.247117000000003</v>
      </c>
      <c r="F8" s="78">
        <v>-4.7608999999999999E-2</v>
      </c>
      <c r="G8" s="77"/>
      <c r="H8" s="77">
        <v>0.658725</v>
      </c>
      <c r="I8" s="77"/>
      <c r="J8" s="77"/>
      <c r="K8" s="78"/>
      <c r="L8" s="77"/>
      <c r="M8" s="77">
        <v>4.3080939999999996</v>
      </c>
      <c r="N8" s="77"/>
      <c r="O8" s="77"/>
      <c r="P8" s="77"/>
      <c r="Q8" s="77"/>
      <c r="R8" s="79">
        <v>0.83960000000000001</v>
      </c>
      <c r="S8" s="80">
        <v>3.673</v>
      </c>
      <c r="T8" s="80">
        <v>4.67</v>
      </c>
      <c r="V8" s="81"/>
    </row>
    <row r="9" spans="1:24" s="86" customFormat="1" x14ac:dyDescent="0.3">
      <c r="A9" s="82"/>
      <c r="B9" s="82"/>
      <c r="C9" s="82"/>
      <c r="D9" s="82"/>
      <c r="E9" s="83" t="s">
        <v>138</v>
      </c>
      <c r="F9" s="83" t="s">
        <v>139</v>
      </c>
      <c r="G9" s="83"/>
      <c r="H9" s="83" t="s">
        <v>140</v>
      </c>
      <c r="I9" s="83"/>
      <c r="J9" s="83"/>
      <c r="K9" s="83"/>
      <c r="L9" s="83"/>
      <c r="M9" s="83" t="s">
        <v>141</v>
      </c>
      <c r="N9" s="83"/>
      <c r="O9" s="83"/>
      <c r="P9" s="83"/>
      <c r="Q9" s="83"/>
      <c r="R9" s="84"/>
      <c r="S9" s="85"/>
      <c r="T9" s="85"/>
      <c r="V9" s="87"/>
    </row>
    <row r="10" spans="1:24" ht="17" x14ac:dyDescent="0.35">
      <c r="A10" s="76">
        <v>2</v>
      </c>
      <c r="B10" s="76" t="s">
        <v>127</v>
      </c>
      <c r="C10" s="76" t="s">
        <v>50</v>
      </c>
      <c r="D10" s="76" t="s">
        <v>128</v>
      </c>
      <c r="E10" s="77">
        <v>-10.2563</v>
      </c>
      <c r="F10" s="88"/>
      <c r="G10" s="77"/>
      <c r="H10" s="77">
        <v>0.95535000000000003</v>
      </c>
      <c r="I10" s="77"/>
      <c r="J10" s="77"/>
      <c r="K10" s="78"/>
      <c r="L10" s="77">
        <v>9.9657400000000003</v>
      </c>
      <c r="M10" s="77">
        <v>7.7891500000000002</v>
      </c>
      <c r="N10" s="77"/>
      <c r="O10" s="77"/>
      <c r="P10" s="77"/>
      <c r="Q10" s="77"/>
      <c r="R10" s="79">
        <v>0.80420000000000003</v>
      </c>
      <c r="S10" s="80">
        <v>4.0570000000000004</v>
      </c>
      <c r="T10" s="80">
        <v>5.82</v>
      </c>
      <c r="V10" s="81"/>
    </row>
    <row r="11" spans="1:24" s="86" customFormat="1" x14ac:dyDescent="0.3">
      <c r="A11" s="82"/>
      <c r="B11" s="82"/>
      <c r="C11" s="82"/>
      <c r="D11" s="82"/>
      <c r="E11" s="83" t="s">
        <v>142</v>
      </c>
      <c r="F11" s="89"/>
      <c r="G11" s="83"/>
      <c r="H11" s="83" t="s">
        <v>143</v>
      </c>
      <c r="I11" s="83"/>
      <c r="J11" s="83"/>
      <c r="K11" s="83"/>
      <c r="L11" s="83" t="s">
        <v>144</v>
      </c>
      <c r="M11" s="83" t="s">
        <v>145</v>
      </c>
      <c r="N11" s="83"/>
      <c r="O11" s="83"/>
      <c r="P11" s="83"/>
      <c r="Q11" s="83"/>
      <c r="R11" s="84"/>
      <c r="S11" s="85"/>
      <c r="T11" s="85"/>
      <c r="V11" s="87"/>
    </row>
    <row r="12" spans="1:24" ht="17" x14ac:dyDescent="0.35">
      <c r="A12" s="76">
        <v>3</v>
      </c>
      <c r="B12" s="76" t="s">
        <v>127</v>
      </c>
      <c r="C12" s="76" t="s">
        <v>146</v>
      </c>
      <c r="D12" s="76" t="s">
        <v>128</v>
      </c>
      <c r="E12" s="77">
        <v>-10.792669999999999</v>
      </c>
      <c r="F12" s="78"/>
      <c r="G12" s="77"/>
      <c r="H12" s="77">
        <v>0.97663</v>
      </c>
      <c r="I12" s="77"/>
      <c r="J12" s="77"/>
      <c r="K12" s="78"/>
      <c r="L12" s="77"/>
      <c r="M12" s="77"/>
      <c r="N12" s="77">
        <v>7.8541699999999999</v>
      </c>
      <c r="O12" s="77"/>
      <c r="P12" s="77"/>
      <c r="Q12" s="77"/>
      <c r="R12" s="79">
        <v>0.8024</v>
      </c>
      <c r="S12" s="80">
        <v>4.0599999999999996</v>
      </c>
      <c r="T12" s="80">
        <v>5.82</v>
      </c>
      <c r="V12" s="81"/>
    </row>
    <row r="13" spans="1:24" s="90" customFormat="1" x14ac:dyDescent="0.3">
      <c r="A13" s="82"/>
      <c r="B13" s="82"/>
      <c r="C13" s="82"/>
      <c r="D13" s="82"/>
      <c r="E13" s="83" t="s">
        <v>147</v>
      </c>
      <c r="F13" s="83"/>
      <c r="G13" s="83"/>
      <c r="H13" s="83" t="s">
        <v>148</v>
      </c>
      <c r="I13" s="83"/>
      <c r="J13" s="83"/>
      <c r="K13" s="83"/>
      <c r="L13" s="83"/>
      <c r="M13" s="83"/>
      <c r="N13" s="83" t="s">
        <v>149</v>
      </c>
      <c r="O13" s="83"/>
      <c r="P13" s="83"/>
      <c r="Q13" s="83"/>
      <c r="R13" s="84"/>
      <c r="S13" s="85"/>
      <c r="T13" s="85"/>
    </row>
    <row r="14" spans="1:24" s="5" customFormat="1" ht="17" x14ac:dyDescent="0.35">
      <c r="A14" s="76" t="s">
        <v>150</v>
      </c>
      <c r="B14" s="76" t="s">
        <v>127</v>
      </c>
      <c r="C14" s="76" t="s">
        <v>151</v>
      </c>
      <c r="D14" s="76" t="s">
        <v>128</v>
      </c>
      <c r="E14" s="77">
        <v>50.626190000000001</v>
      </c>
      <c r="F14" s="78">
        <v>-4.0410000000000001E-2</v>
      </c>
      <c r="G14" s="77"/>
      <c r="H14" s="77">
        <v>0.66964999999999997</v>
      </c>
      <c r="I14" s="77"/>
      <c r="J14" s="77"/>
      <c r="K14" s="78"/>
      <c r="L14" s="77"/>
      <c r="M14" s="77"/>
      <c r="N14" s="77">
        <v>5.1963999999999997</v>
      </c>
      <c r="O14" s="77"/>
      <c r="P14" s="77"/>
      <c r="Q14" s="77"/>
      <c r="R14" s="79">
        <v>0.84689999999999999</v>
      </c>
      <c r="S14" s="80">
        <v>3.5880000000000001</v>
      </c>
      <c r="T14" s="80">
        <v>4.4000000000000004</v>
      </c>
      <c r="V14" s="91"/>
    </row>
    <row r="15" spans="1:24" s="90" customFormat="1" x14ac:dyDescent="0.3">
      <c r="A15" s="82"/>
      <c r="B15" s="82"/>
      <c r="C15" s="82"/>
      <c r="D15" s="82"/>
      <c r="E15" s="83" t="s">
        <v>152</v>
      </c>
      <c r="F15" s="83" t="s">
        <v>153</v>
      </c>
      <c r="G15" s="83"/>
      <c r="H15" s="83" t="s">
        <v>154</v>
      </c>
      <c r="I15" s="83"/>
      <c r="J15" s="83"/>
      <c r="K15" s="83"/>
      <c r="L15" s="83"/>
      <c r="M15" s="83"/>
      <c r="N15" s="83" t="s">
        <v>155</v>
      </c>
      <c r="O15" s="83"/>
      <c r="P15" s="83"/>
      <c r="Q15" s="83"/>
      <c r="R15" s="84"/>
      <c r="S15" s="85"/>
      <c r="T15" s="85"/>
      <c r="U15" s="1"/>
      <c r="V15" s="1"/>
      <c r="W15" s="1"/>
      <c r="X15" s="1"/>
    </row>
    <row r="16" spans="1:24" s="5" customFormat="1" ht="17" x14ac:dyDescent="0.35">
      <c r="A16" s="92">
        <v>4</v>
      </c>
      <c r="B16" s="76" t="s">
        <v>156</v>
      </c>
      <c r="C16" s="76" t="s">
        <v>157</v>
      </c>
      <c r="D16" s="93" t="s">
        <v>158</v>
      </c>
      <c r="E16" s="77">
        <v>19.153949999999998</v>
      </c>
      <c r="F16" s="94"/>
      <c r="G16" s="77">
        <v>-2.78518</v>
      </c>
      <c r="H16" s="77"/>
      <c r="I16" s="77"/>
      <c r="J16" s="95"/>
      <c r="K16" s="77">
        <v>1.0678399999999999</v>
      </c>
      <c r="L16" s="95">
        <v>-1.6995800000000001</v>
      </c>
      <c r="M16" s="77"/>
      <c r="N16" s="77"/>
      <c r="O16" s="95"/>
      <c r="P16" s="77">
        <v>-2.2233299999999998</v>
      </c>
      <c r="Q16" s="77">
        <v>-1.6149899999999999</v>
      </c>
      <c r="R16" s="79">
        <v>0.82489999999999997</v>
      </c>
      <c r="S16" s="80">
        <v>0.64</v>
      </c>
      <c r="T16" s="80">
        <v>0.39</v>
      </c>
      <c r="U16" s="1"/>
      <c r="V16" s="1"/>
      <c r="W16" s="1"/>
      <c r="X16" s="1"/>
    </row>
    <row r="17" spans="1:24" s="90" customFormat="1" x14ac:dyDescent="0.3">
      <c r="A17" s="82"/>
      <c r="B17" s="82"/>
      <c r="C17" s="82"/>
      <c r="D17" s="96"/>
      <c r="E17" s="83" t="s">
        <v>159</v>
      </c>
      <c r="F17" s="89"/>
      <c r="G17" s="83" t="s">
        <v>160</v>
      </c>
      <c r="H17" s="83"/>
      <c r="I17" s="83"/>
      <c r="J17" s="83"/>
      <c r="K17" s="83" t="s">
        <v>161</v>
      </c>
      <c r="L17" s="83" t="s">
        <v>162</v>
      </c>
      <c r="M17" s="83"/>
      <c r="N17" s="83"/>
      <c r="O17" s="83"/>
      <c r="P17" s="83" t="s">
        <v>163</v>
      </c>
      <c r="Q17" s="83" t="s">
        <v>164</v>
      </c>
      <c r="R17" s="84"/>
      <c r="S17" s="85"/>
      <c r="T17" s="85"/>
      <c r="U17"/>
      <c r="V17"/>
      <c r="W17"/>
      <c r="X17"/>
    </row>
    <row r="18" spans="1:24" s="5" customFormat="1" x14ac:dyDescent="0.3">
      <c r="A18" s="92" t="s">
        <v>165</v>
      </c>
      <c r="B18" s="76" t="s">
        <v>166</v>
      </c>
      <c r="C18" s="76" t="s">
        <v>167</v>
      </c>
      <c r="D18" s="93" t="s">
        <v>158</v>
      </c>
      <c r="E18" s="77">
        <v>13.7053615</v>
      </c>
      <c r="F18" s="88">
        <v>2.3901999999999999E-3</v>
      </c>
      <c r="G18" s="77">
        <v>-2.3188021999999999</v>
      </c>
      <c r="H18" s="77"/>
      <c r="I18" s="77"/>
      <c r="J18" s="95"/>
      <c r="K18" s="77">
        <v>0.89214910000000003</v>
      </c>
      <c r="L18" s="95">
        <v>-1.4384508</v>
      </c>
      <c r="M18" s="77"/>
      <c r="N18" s="77"/>
      <c r="O18" s="95"/>
      <c r="P18" s="77">
        <v>-1.7918113</v>
      </c>
      <c r="Q18" s="77">
        <v>-1.7241687000000001</v>
      </c>
      <c r="R18" s="79">
        <v>0.83819999999999995</v>
      </c>
      <c r="S18" s="80">
        <v>0.59</v>
      </c>
      <c r="T18" s="80">
        <v>0.32</v>
      </c>
      <c r="U18"/>
      <c r="V18"/>
      <c r="W18"/>
      <c r="X18"/>
    </row>
    <row r="19" spans="1:24" s="90" customFormat="1" x14ac:dyDescent="0.3">
      <c r="A19" s="82"/>
      <c r="B19" s="82"/>
      <c r="C19" s="82"/>
      <c r="D19" s="96"/>
      <c r="E19" s="83" t="s">
        <v>168</v>
      </c>
      <c r="F19" s="89" t="s">
        <v>169</v>
      </c>
      <c r="G19" s="83" t="s">
        <v>170</v>
      </c>
      <c r="H19" s="83"/>
      <c r="I19" s="83"/>
      <c r="J19" s="83"/>
      <c r="K19" s="83" t="s">
        <v>171</v>
      </c>
      <c r="L19" s="83" t="s">
        <v>172</v>
      </c>
      <c r="M19" s="83"/>
      <c r="N19" s="83"/>
      <c r="O19" s="83"/>
      <c r="P19" s="83" t="s">
        <v>173</v>
      </c>
      <c r="Q19" s="83" t="s">
        <v>174</v>
      </c>
      <c r="R19" s="84"/>
      <c r="S19" s="85"/>
      <c r="T19" s="85"/>
      <c r="U19"/>
      <c r="V19"/>
      <c r="W19"/>
      <c r="X19"/>
    </row>
    <row r="20" spans="1:24" s="5" customFormat="1" ht="17" x14ac:dyDescent="0.35">
      <c r="A20" s="92">
        <v>5</v>
      </c>
      <c r="B20" s="76" t="s">
        <v>156</v>
      </c>
      <c r="C20" s="76" t="s">
        <v>175</v>
      </c>
      <c r="D20" s="93" t="s">
        <v>158</v>
      </c>
      <c r="E20" s="77">
        <v>12.897919999999999</v>
      </c>
      <c r="F20" s="78"/>
      <c r="G20" s="77">
        <v>-1.84446</v>
      </c>
      <c r="H20" s="77"/>
      <c r="I20" s="77"/>
      <c r="J20" s="77"/>
      <c r="K20" s="77"/>
      <c r="L20" s="78"/>
      <c r="M20" s="77"/>
      <c r="N20" s="77">
        <v>-1.0589599999999999</v>
      </c>
      <c r="O20" s="78">
        <v>1.8583000000000001</v>
      </c>
      <c r="P20" s="77"/>
      <c r="Q20" s="77">
        <v>-1.4668699999999999</v>
      </c>
      <c r="R20" s="79">
        <v>0.79059999999999997</v>
      </c>
      <c r="S20" s="80">
        <v>0.74</v>
      </c>
      <c r="T20" s="80">
        <v>0.48</v>
      </c>
      <c r="U20"/>
      <c r="V20"/>
      <c r="W20"/>
      <c r="X20"/>
    </row>
    <row r="21" spans="1:24" s="90" customFormat="1" x14ac:dyDescent="0.3">
      <c r="A21" s="82"/>
      <c r="B21" s="82"/>
      <c r="C21" s="82"/>
      <c r="D21" s="96"/>
      <c r="E21" s="83" t="s">
        <v>176</v>
      </c>
      <c r="F21" s="83"/>
      <c r="G21" s="83" t="s">
        <v>177</v>
      </c>
      <c r="H21" s="83"/>
      <c r="I21" s="83"/>
      <c r="J21" s="83"/>
      <c r="K21" s="83"/>
      <c r="L21" s="83"/>
      <c r="M21" s="83"/>
      <c r="N21" s="83" t="s">
        <v>178</v>
      </c>
      <c r="O21" s="83" t="s">
        <v>179</v>
      </c>
      <c r="P21" s="83"/>
      <c r="Q21" s="83" t="s">
        <v>180</v>
      </c>
      <c r="R21" s="84"/>
      <c r="S21" s="85"/>
      <c r="T21" s="85"/>
      <c r="U21"/>
      <c r="V21"/>
      <c r="W21"/>
      <c r="X21"/>
    </row>
    <row r="22" spans="1:24" s="5" customFormat="1" ht="17" x14ac:dyDescent="0.35">
      <c r="A22" s="92">
        <v>6</v>
      </c>
      <c r="B22" s="76" t="s">
        <v>181</v>
      </c>
      <c r="C22" s="76" t="s">
        <v>182</v>
      </c>
      <c r="D22" s="93" t="s">
        <v>183</v>
      </c>
      <c r="E22" s="77">
        <v>6.5590039999999998</v>
      </c>
      <c r="F22" s="78">
        <v>3.3370000000000001E-3</v>
      </c>
      <c r="G22" s="77">
        <v>-1.321224</v>
      </c>
      <c r="H22" s="77"/>
      <c r="I22" s="77"/>
      <c r="J22" s="77"/>
      <c r="K22" s="77"/>
      <c r="L22" s="77"/>
      <c r="M22" s="77"/>
      <c r="N22" s="77"/>
      <c r="O22" s="78"/>
      <c r="P22" s="77"/>
      <c r="Q22" s="95"/>
      <c r="R22" s="79">
        <v>0.73699999999999999</v>
      </c>
      <c r="S22" s="80">
        <v>2.02</v>
      </c>
      <c r="T22" s="80">
        <v>2.09</v>
      </c>
      <c r="U22"/>
      <c r="V22"/>
      <c r="W22"/>
      <c r="X22"/>
    </row>
    <row r="23" spans="1:24" s="86" customFormat="1" x14ac:dyDescent="0.3">
      <c r="A23" s="82"/>
      <c r="B23" s="82"/>
      <c r="C23" s="82"/>
      <c r="D23" s="96"/>
      <c r="E23" s="83" t="s">
        <v>184</v>
      </c>
      <c r="F23" s="83" t="s">
        <v>185</v>
      </c>
      <c r="G23" s="83" t="s">
        <v>186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85"/>
      <c r="T23" s="85"/>
      <c r="U23"/>
      <c r="V23"/>
      <c r="W23"/>
      <c r="X23"/>
    </row>
    <row r="24" spans="1:24" ht="17" x14ac:dyDescent="0.35">
      <c r="A24" s="92">
        <v>7</v>
      </c>
      <c r="B24" s="76" t="s">
        <v>181</v>
      </c>
      <c r="C24" s="76" t="s">
        <v>175</v>
      </c>
      <c r="D24" s="93" t="s">
        <v>183</v>
      </c>
      <c r="E24" s="77">
        <v>16.502300000000002</v>
      </c>
      <c r="F24" s="78"/>
      <c r="G24" s="77">
        <v>-2.1604000000000001</v>
      </c>
      <c r="H24" s="77"/>
      <c r="I24" s="77"/>
      <c r="J24" s="77"/>
      <c r="K24" s="77">
        <v>0.2928</v>
      </c>
      <c r="L24" s="77"/>
      <c r="M24" s="77"/>
      <c r="N24" s="77"/>
      <c r="O24" s="78"/>
      <c r="P24" s="77">
        <v>-1.4157999999999999</v>
      </c>
      <c r="Q24" s="95"/>
      <c r="R24" s="79">
        <v>0.70499999999999996</v>
      </c>
      <c r="S24" s="80">
        <v>2.1800000000000002</v>
      </c>
      <c r="T24" s="80">
        <v>2.71</v>
      </c>
      <c r="U24"/>
      <c r="V24"/>
      <c r="W24"/>
      <c r="X24"/>
    </row>
    <row r="25" spans="1:24" s="86" customFormat="1" x14ac:dyDescent="0.3">
      <c r="B25" s="82"/>
      <c r="C25" s="82"/>
      <c r="D25" s="82"/>
      <c r="E25" s="83" t="s">
        <v>187</v>
      </c>
      <c r="F25" s="83"/>
      <c r="G25" s="83" t="s">
        <v>188</v>
      </c>
      <c r="H25" s="83"/>
      <c r="I25" s="83"/>
      <c r="J25" s="83"/>
      <c r="K25" s="83" t="s">
        <v>189</v>
      </c>
      <c r="L25" s="83"/>
      <c r="M25" s="83"/>
      <c r="N25" s="83"/>
      <c r="O25" s="83"/>
      <c r="P25" s="83" t="s">
        <v>190</v>
      </c>
      <c r="Q25" s="83"/>
      <c r="R25" s="84"/>
      <c r="S25" s="85"/>
      <c r="T25" s="85"/>
      <c r="U25"/>
      <c r="V25"/>
      <c r="W25"/>
      <c r="X25"/>
    </row>
    <row r="26" spans="1:24" ht="17" x14ac:dyDescent="0.35">
      <c r="A26" s="92">
        <v>8</v>
      </c>
      <c r="B26" s="76" t="s">
        <v>191</v>
      </c>
      <c r="C26" s="76" t="s">
        <v>157</v>
      </c>
      <c r="D26" s="93" t="s">
        <v>192</v>
      </c>
      <c r="E26" s="77">
        <v>12.914</v>
      </c>
      <c r="F26" s="95"/>
      <c r="G26" s="77">
        <v>-2.6554899999999999</v>
      </c>
      <c r="H26" s="77"/>
      <c r="I26" s="77"/>
      <c r="J26" s="77">
        <v>1.0044999999999999</v>
      </c>
      <c r="K26" s="77">
        <v>1.2374099999999999</v>
      </c>
      <c r="L26" s="95"/>
      <c r="M26" s="95"/>
      <c r="N26" s="95"/>
      <c r="O26" s="95"/>
      <c r="P26" s="95"/>
      <c r="Q26" s="95"/>
      <c r="R26" s="97">
        <v>0.79949999999999999</v>
      </c>
      <c r="S26" s="80">
        <v>1.1200000000000001</v>
      </c>
      <c r="T26" s="80">
        <v>1.28</v>
      </c>
      <c r="U26"/>
      <c r="V26"/>
      <c r="W26"/>
      <c r="X26"/>
    </row>
    <row r="27" spans="1:24" s="86" customFormat="1" x14ac:dyDescent="0.3">
      <c r="A27" s="82"/>
      <c r="B27" s="82"/>
      <c r="C27" s="82"/>
      <c r="D27" s="82"/>
      <c r="E27" s="83" t="s">
        <v>193</v>
      </c>
      <c r="F27" s="83"/>
      <c r="G27" s="83" t="s">
        <v>194</v>
      </c>
      <c r="H27" s="83"/>
      <c r="I27" s="83"/>
      <c r="J27" s="83" t="s">
        <v>195</v>
      </c>
      <c r="K27" s="83" t="s">
        <v>196</v>
      </c>
      <c r="L27" s="83"/>
      <c r="M27" s="83"/>
      <c r="N27" s="83"/>
      <c r="O27" s="83"/>
      <c r="P27" s="83"/>
      <c r="Q27" s="83"/>
      <c r="R27" s="84"/>
      <c r="S27" s="85"/>
      <c r="T27" s="85"/>
      <c r="U27"/>
      <c r="V27"/>
      <c r="W27"/>
      <c r="X27"/>
    </row>
    <row r="28" spans="1:24" ht="17" x14ac:dyDescent="0.35">
      <c r="A28" s="92">
        <v>9</v>
      </c>
      <c r="B28" s="76" t="s">
        <v>197</v>
      </c>
      <c r="C28" s="76" t="s">
        <v>175</v>
      </c>
      <c r="D28" s="93" t="s">
        <v>192</v>
      </c>
      <c r="E28" s="77">
        <v>6.22004</v>
      </c>
      <c r="F28" s="95"/>
      <c r="G28" s="77">
        <v>-1.1513599999999999</v>
      </c>
      <c r="H28" s="77"/>
      <c r="I28" s="77"/>
      <c r="J28" s="77">
        <v>1.2726500000000001</v>
      </c>
      <c r="K28" s="77">
        <v>0.69313000000000002</v>
      </c>
      <c r="L28" s="95"/>
      <c r="M28" s="95"/>
      <c r="N28" s="95"/>
      <c r="O28" s="95"/>
      <c r="P28" s="95"/>
      <c r="Q28" s="95"/>
      <c r="R28" s="97">
        <v>0.70779999999999998</v>
      </c>
      <c r="S28" s="80">
        <v>1.45</v>
      </c>
      <c r="T28" s="80">
        <v>1.94</v>
      </c>
      <c r="U28"/>
      <c r="V28"/>
      <c r="W28"/>
      <c r="X28"/>
    </row>
    <row r="29" spans="1:24" s="86" customFormat="1" x14ac:dyDescent="0.3">
      <c r="A29" s="82"/>
      <c r="B29" s="82"/>
      <c r="C29" s="82"/>
      <c r="D29" s="82"/>
      <c r="E29" s="83" t="s">
        <v>198</v>
      </c>
      <c r="F29" s="83"/>
      <c r="G29" s="83" t="s">
        <v>199</v>
      </c>
      <c r="H29" s="83"/>
      <c r="I29" s="83"/>
      <c r="J29" s="83" t="s">
        <v>200</v>
      </c>
      <c r="K29" s="83" t="s">
        <v>201</v>
      </c>
      <c r="L29" s="83"/>
      <c r="M29" s="83"/>
      <c r="N29" s="83"/>
      <c r="O29" s="83"/>
      <c r="P29" s="83"/>
      <c r="Q29" s="83"/>
      <c r="R29" s="84"/>
      <c r="S29" s="85"/>
      <c r="T29" s="85"/>
      <c r="U29"/>
      <c r="V29"/>
      <c r="W29"/>
      <c r="X29"/>
    </row>
    <row r="30" spans="1:24" ht="17" x14ac:dyDescent="0.35">
      <c r="A30" s="92">
        <v>10</v>
      </c>
      <c r="B30" s="76" t="s">
        <v>202</v>
      </c>
      <c r="C30" s="76" t="s">
        <v>157</v>
      </c>
      <c r="D30" s="76" t="s">
        <v>203</v>
      </c>
      <c r="E30" s="77">
        <v>31.6434</v>
      </c>
      <c r="F30" s="78"/>
      <c r="G30" s="77">
        <v>-2.6610999999999998</v>
      </c>
      <c r="H30" s="77"/>
      <c r="I30" s="77"/>
      <c r="J30" s="77">
        <v>-6.4625000000000004</v>
      </c>
      <c r="K30" s="77">
        <v>-1.3486</v>
      </c>
      <c r="L30" s="78">
        <v>-5.0597000000000003</v>
      </c>
      <c r="M30" s="77"/>
      <c r="N30" s="77"/>
      <c r="O30" s="77">
        <v>-6.1714000000000002</v>
      </c>
      <c r="P30" s="77"/>
      <c r="Q30" s="77">
        <v>-5.7343999999999999</v>
      </c>
      <c r="R30" s="79">
        <v>0.5857</v>
      </c>
      <c r="S30" s="80">
        <v>0.7581</v>
      </c>
      <c r="T30" s="80">
        <v>0.91</v>
      </c>
      <c r="U30"/>
      <c r="V30"/>
      <c r="W30"/>
      <c r="X30"/>
    </row>
    <row r="31" spans="1:24" s="86" customFormat="1" x14ac:dyDescent="0.3">
      <c r="A31" s="82"/>
      <c r="B31" s="82"/>
      <c r="C31" s="82"/>
      <c r="D31" s="82"/>
      <c r="E31" s="83" t="s">
        <v>204</v>
      </c>
      <c r="F31" s="83"/>
      <c r="G31" s="83" t="s">
        <v>205</v>
      </c>
      <c r="H31" s="83"/>
      <c r="I31" s="83"/>
      <c r="J31" s="83" t="s">
        <v>206</v>
      </c>
      <c r="K31" s="83" t="s">
        <v>207</v>
      </c>
      <c r="L31" s="83" t="s">
        <v>208</v>
      </c>
      <c r="M31" s="83"/>
      <c r="N31" s="83"/>
      <c r="O31" s="83" t="s">
        <v>209</v>
      </c>
      <c r="P31" s="83"/>
      <c r="Q31" s="83" t="s">
        <v>210</v>
      </c>
      <c r="R31" s="84"/>
      <c r="S31" s="85"/>
      <c r="T31" s="85"/>
      <c r="U31"/>
      <c r="V31"/>
      <c r="W31"/>
      <c r="X31"/>
    </row>
    <row r="32" spans="1:24" s="98" customFormat="1" ht="17" x14ac:dyDescent="0.35">
      <c r="A32" s="92">
        <v>11</v>
      </c>
      <c r="B32" s="76" t="s">
        <v>54</v>
      </c>
      <c r="C32" s="76" t="s">
        <v>157</v>
      </c>
      <c r="D32" s="76" t="s">
        <v>211</v>
      </c>
      <c r="E32" s="77">
        <v>29.8766</v>
      </c>
      <c r="F32" s="77"/>
      <c r="G32" s="95">
        <v>-2.5550999999999999</v>
      </c>
      <c r="H32" s="95"/>
      <c r="I32" s="95"/>
      <c r="J32" s="77">
        <v>2.9594</v>
      </c>
      <c r="K32" s="77"/>
      <c r="L32" s="95"/>
      <c r="M32" s="77"/>
      <c r="N32" s="77"/>
      <c r="O32" s="77"/>
      <c r="P32" s="95"/>
      <c r="Q32" s="77">
        <v>4.8840000000000003</v>
      </c>
      <c r="R32" s="79">
        <v>0.53010000000000002</v>
      </c>
      <c r="S32" s="80">
        <v>1.3080000000000001</v>
      </c>
      <c r="T32" s="80">
        <v>1.45</v>
      </c>
      <c r="U32"/>
      <c r="V32"/>
      <c r="W32"/>
      <c r="X32"/>
    </row>
    <row r="33" spans="1:24" s="86" customFormat="1" x14ac:dyDescent="0.3">
      <c r="A33" s="82"/>
      <c r="B33" s="82"/>
      <c r="C33" s="82"/>
      <c r="D33" s="82"/>
      <c r="E33" s="83" t="s">
        <v>212</v>
      </c>
      <c r="F33" s="83"/>
      <c r="G33" s="83" t="s">
        <v>213</v>
      </c>
      <c r="H33" s="83"/>
      <c r="I33" s="83"/>
      <c r="J33" s="83" t="s">
        <v>214</v>
      </c>
      <c r="K33" s="83"/>
      <c r="L33" s="83"/>
      <c r="M33" s="83"/>
      <c r="N33" s="83"/>
      <c r="O33" s="83"/>
      <c r="P33" s="83"/>
      <c r="Q33" s="83" t="s">
        <v>215</v>
      </c>
      <c r="R33" s="84"/>
      <c r="S33" s="85"/>
      <c r="T33" s="99"/>
      <c r="U33"/>
      <c r="V33"/>
      <c r="W33"/>
      <c r="X33"/>
    </row>
    <row r="34" spans="1:24" x14ac:dyDescent="0.3">
      <c r="A34" s="110" t="s">
        <v>216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U34"/>
      <c r="V34"/>
      <c r="W34"/>
      <c r="X34"/>
    </row>
    <row r="35" spans="1:24" x14ac:dyDescent="0.3">
      <c r="S35" s="73"/>
      <c r="U35"/>
      <c r="V35"/>
      <c r="W35"/>
      <c r="X35"/>
    </row>
    <row r="36" spans="1:24" x14ac:dyDescent="0.3">
      <c r="S36" s="73"/>
      <c r="U36"/>
      <c r="V36"/>
      <c r="W36"/>
      <c r="X36"/>
    </row>
    <row r="37" spans="1:24" x14ac:dyDescent="0.3">
      <c r="S37" s="73"/>
      <c r="U37"/>
      <c r="V37"/>
      <c r="W37"/>
      <c r="X37"/>
    </row>
    <row r="38" spans="1:24" x14ac:dyDescent="0.3">
      <c r="S38" s="73"/>
      <c r="U38"/>
      <c r="V38"/>
      <c r="W38"/>
      <c r="X38"/>
    </row>
    <row r="39" spans="1:24" x14ac:dyDescent="0.3">
      <c r="S39" s="73"/>
      <c r="U39"/>
      <c r="V39"/>
      <c r="W39"/>
      <c r="X39"/>
    </row>
    <row r="40" spans="1:24" x14ac:dyDescent="0.3">
      <c r="S40" s="73"/>
      <c r="U40"/>
      <c r="V40"/>
      <c r="W40"/>
      <c r="X40"/>
    </row>
    <row r="41" spans="1:24" x14ac:dyDescent="0.3">
      <c r="S41" s="73"/>
    </row>
    <row r="42" spans="1:24" x14ac:dyDescent="0.3">
      <c r="S42" s="73"/>
    </row>
    <row r="43" spans="1:24" x14ac:dyDescent="0.3">
      <c r="S43" s="73"/>
    </row>
    <row r="44" spans="1:24" x14ac:dyDescent="0.3">
      <c r="S44" s="73"/>
    </row>
    <row r="45" spans="1:24" x14ac:dyDescent="0.3">
      <c r="S45" s="73"/>
    </row>
    <row r="46" spans="1:24" x14ac:dyDescent="0.3">
      <c r="S46" s="73"/>
    </row>
    <row r="47" spans="1:24" x14ac:dyDescent="0.3">
      <c r="S47" s="73"/>
    </row>
    <row r="48" spans="1:24" x14ac:dyDescent="0.3">
      <c r="S48" s="73"/>
    </row>
    <row r="49" spans="19:19" x14ac:dyDescent="0.3">
      <c r="S49" s="73"/>
    </row>
    <row r="50" spans="19:19" x14ac:dyDescent="0.3">
      <c r="S50" s="73"/>
    </row>
    <row r="51" spans="19:19" x14ac:dyDescent="0.3">
      <c r="S51" s="73"/>
    </row>
    <row r="52" spans="19:19" x14ac:dyDescent="0.3">
      <c r="S52" s="73"/>
    </row>
    <row r="53" spans="19:19" x14ac:dyDescent="0.3">
      <c r="S53" s="73"/>
    </row>
    <row r="54" spans="19:19" x14ac:dyDescent="0.3">
      <c r="S54" s="73"/>
    </row>
    <row r="55" spans="19:19" x14ac:dyDescent="0.3">
      <c r="S55" s="73"/>
    </row>
    <row r="56" spans="19:19" x14ac:dyDescent="0.3">
      <c r="S56" s="73"/>
    </row>
    <row r="57" spans="19:19" x14ac:dyDescent="0.3">
      <c r="S57" s="73"/>
    </row>
    <row r="58" spans="19:19" x14ac:dyDescent="0.3">
      <c r="S58" s="73"/>
    </row>
    <row r="59" spans="19:19" x14ac:dyDescent="0.3">
      <c r="S59" s="73"/>
    </row>
    <row r="60" spans="19:19" x14ac:dyDescent="0.3">
      <c r="S60" s="73"/>
    </row>
    <row r="61" spans="19:19" x14ac:dyDescent="0.3">
      <c r="S61" s="73"/>
    </row>
    <row r="62" spans="19:19" x14ac:dyDescent="0.3">
      <c r="S62" s="73"/>
    </row>
    <row r="63" spans="19:19" x14ac:dyDescent="0.3">
      <c r="S63" s="73"/>
    </row>
    <row r="64" spans="19:19" x14ac:dyDescent="0.3">
      <c r="S64" s="73"/>
    </row>
    <row r="65" spans="19:19" x14ac:dyDescent="0.3">
      <c r="S65" s="73"/>
    </row>
    <row r="66" spans="19:19" x14ac:dyDescent="0.3">
      <c r="S66" s="73"/>
    </row>
    <row r="67" spans="19:19" x14ac:dyDescent="0.3">
      <c r="S67" s="73"/>
    </row>
  </sheetData>
  <sheetProtection sheet="1" objects="1" scenarios="1"/>
  <mergeCells count="10">
    <mergeCell ref="R4:R5"/>
    <mergeCell ref="S4:S5"/>
    <mergeCell ref="T4:T5"/>
    <mergeCell ref="A34:S34"/>
    <mergeCell ref="A4:A5"/>
    <mergeCell ref="B4:B5"/>
    <mergeCell ref="C4:C5"/>
    <mergeCell ref="D4:D5"/>
    <mergeCell ref="E4:E5"/>
    <mergeCell ref="F4:Q4"/>
  </mergeCells>
  <pageMargins left="0.75000000000000011" right="0.75000000000000011" top="1" bottom="1" header="0.5" footer="0.5"/>
  <pageSetup paperSize="9" scale="4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traces_calc</vt:lpstr>
      <vt:lpstr>traces_params</vt:lpstr>
      <vt:lpstr>majors_calc</vt:lpstr>
      <vt:lpstr>majors_params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Humphreys</dc:creator>
  <cp:lastModifiedBy>dul4he</cp:lastModifiedBy>
  <dcterms:created xsi:type="dcterms:W3CDTF">2018-07-06T13:55:26Z</dcterms:created>
  <dcterms:modified xsi:type="dcterms:W3CDTF">2019-02-08T15:36:05Z</dcterms:modified>
</cp:coreProperties>
</file>